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3" documentId="8_{04106C17-B5EA-454B-884D-01E3101B3839}" xr6:coauthVersionLast="47" xr6:coauthVersionMax="47" xr10:uidLastSave="{EFF10B52-7953-4510-9596-D2D815B82518}"/>
  <bookViews>
    <workbookView xWindow="-120" yWindow="-120" windowWidth="29040" windowHeight="15720" tabRatio="872" xr2:uid="{00000000-000D-0000-FFFF-FFFF00000000}"/>
  </bookViews>
  <sheets>
    <sheet name="Stap 1 Basis soorten opstelling" sheetId="2" r:id="rId1"/>
    <sheet name="Stap 2 Punten ter voorbereiding" sheetId="7" r:id="rId2"/>
    <sheet name="Stap 3 Offerte Serie icm GoodWe" sheetId="1" r:id="rId3"/>
    <sheet name="Optie Offerte Micro icm Enphas" sheetId="12" r:id="rId4"/>
    <sheet name="Potentiele winst icm serie" sheetId="11" r:id="rId5"/>
    <sheet name="Potentiele winst icm micro" sheetId="13" r:id="rId6"/>
    <sheet name="Prijsbronlijst" sheetId="9" r:id="rId7"/>
  </sheets>
  <definedNames>
    <definedName name="_xlnm.Print_Titles" localSheetId="3">'Optie Offerte Micro icm Enphas'!$4:$4</definedName>
    <definedName name="_xlnm.Print_Titles" localSheetId="2">'Stap 3 Offerte Serie icm GoodWe'!$4:$4</definedName>
    <definedName name="Tax_Rate" localSheetId="3">'Optie Offerte Micro icm Enphas'!#REF!</definedName>
    <definedName name="Tax_Rate">'Stap 3 Offerte Serie icm GoodWe'!#REF!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B22" i="12"/>
  <c r="F22" i="12"/>
  <c r="G22" i="12" s="1"/>
  <c r="D22" i="12"/>
  <c r="H90" i="9"/>
  <c r="F21" i="12"/>
  <c r="G89" i="9"/>
  <c r="E21" i="12"/>
  <c r="E20" i="12"/>
  <c r="F20" i="12"/>
  <c r="G21" i="12"/>
  <c r="D21" i="12"/>
  <c r="F11" i="12"/>
  <c r="E11" i="12"/>
  <c r="B10" i="12"/>
  <c r="G10" i="12"/>
  <c r="F8" i="12"/>
  <c r="G8" i="12" s="1"/>
  <c r="D8" i="12"/>
  <c r="F7" i="12"/>
  <c r="B7" i="12"/>
  <c r="D7" i="12"/>
  <c r="F5" i="12"/>
  <c r="G5" i="12" s="1"/>
  <c r="E5" i="12"/>
  <c r="C16" i="12" s="1"/>
  <c r="E15" i="12" s="1"/>
  <c r="D5" i="12"/>
  <c r="C10" i="12"/>
  <c r="D16" i="1"/>
  <c r="D7" i="1"/>
  <c r="E5" i="1"/>
  <c r="C14" i="1"/>
  <c r="E13" i="1" s="1"/>
  <c r="C10" i="11" s="1"/>
  <c r="D5" i="1"/>
  <c r="B7" i="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F20" i="1"/>
  <c r="D19" i="1"/>
  <c r="F11" i="1"/>
  <c r="E11" i="1"/>
  <c r="B10" i="1"/>
  <c r="C10" i="1"/>
  <c r="F19" i="1"/>
  <c r="E19" i="1"/>
  <c r="G21" i="1"/>
  <c r="F21" i="1"/>
  <c r="E21" i="1"/>
  <c r="D21" i="1"/>
  <c r="G20" i="1"/>
  <c r="E20" i="1"/>
  <c r="D20" i="1"/>
  <c r="F16" i="1"/>
  <c r="G16" i="1" s="1"/>
  <c r="F5" i="1"/>
  <c r="G5" i="1" s="1"/>
  <c r="F7" i="1"/>
  <c r="G7" i="1" s="1"/>
  <c r="F8" i="1"/>
  <c r="G8" i="1" s="1"/>
  <c r="D8" i="1"/>
  <c r="G10" i="1"/>
  <c r="C13" i="1"/>
  <c r="G7" i="12" l="1"/>
  <c r="G26" i="12" s="1"/>
  <c r="E16" i="12" s="1"/>
  <c r="O16" i="12" s="1"/>
  <c r="G25" i="1"/>
  <c r="E14" i="1" s="1"/>
  <c r="O14" i="1" s="1"/>
  <c r="C11" i="11"/>
  <c r="L10" i="11"/>
  <c r="M10" i="11" s="1"/>
  <c r="O15" i="12"/>
  <c r="C10" i="13"/>
  <c r="O13" i="1"/>
  <c r="B4" i="13" l="1"/>
  <c r="E4" i="13" s="1"/>
  <c r="B4" i="11"/>
  <c r="C11" i="13"/>
  <c r="L10" i="13"/>
  <c r="M10" i="13" s="1"/>
  <c r="C12" i="11"/>
  <c r="L11" i="11"/>
  <c r="M11" i="11" s="1"/>
  <c r="E4" i="11"/>
  <c r="C13" i="11" l="1"/>
  <c r="L12" i="11"/>
  <c r="M12" i="11" s="1"/>
  <c r="C12" i="13"/>
  <c r="L11" i="13"/>
  <c r="M11" i="13" s="1"/>
  <c r="L13" i="11" l="1"/>
  <c r="M13" i="11" s="1"/>
  <c r="C14" i="11"/>
  <c r="L12" i="13"/>
  <c r="M12" i="13" s="1"/>
  <c r="C13" i="13"/>
  <c r="C14" i="13" l="1"/>
  <c r="L13" i="13"/>
  <c r="M13" i="13" s="1"/>
  <c r="C15" i="11"/>
  <c r="L14" i="11"/>
  <c r="M14" i="11" s="1"/>
  <c r="C16" i="11" l="1"/>
  <c r="L15" i="11"/>
  <c r="M15" i="11" s="1"/>
  <c r="L14" i="13"/>
  <c r="M14" i="13" s="1"/>
  <c r="C15" i="13"/>
  <c r="C16" i="13" l="1"/>
  <c r="L15" i="13"/>
  <c r="M15" i="13" s="1"/>
  <c r="C17" i="11"/>
  <c r="L16" i="11"/>
  <c r="M16" i="11" s="1"/>
  <c r="C18" i="11" l="1"/>
  <c r="L17" i="11"/>
  <c r="M17" i="11" s="1"/>
  <c r="L16" i="13"/>
  <c r="M16" i="13" s="1"/>
  <c r="C17" i="13"/>
  <c r="L17" i="13" l="1"/>
  <c r="M17" i="13" s="1"/>
  <c r="C18" i="13"/>
  <c r="L18" i="11"/>
  <c r="M18" i="11" s="1"/>
  <c r="C19" i="11"/>
  <c r="C19" i="13" l="1"/>
  <c r="L18" i="13"/>
  <c r="M18" i="13" s="1"/>
  <c r="L19" i="11"/>
  <c r="M19" i="11" s="1"/>
  <c r="C20" i="11"/>
  <c r="C21" i="11" l="1"/>
  <c r="L20" i="11"/>
  <c r="M20" i="11" s="1"/>
  <c r="C20" i="13"/>
  <c r="L19" i="13"/>
  <c r="M19" i="13" s="1"/>
  <c r="L20" i="13" l="1"/>
  <c r="M20" i="13" s="1"/>
  <c r="C21" i="13"/>
  <c r="L21" i="11"/>
  <c r="M21" i="11" s="1"/>
  <c r="C22" i="11"/>
  <c r="L22" i="11" l="1"/>
  <c r="M22" i="11" s="1"/>
  <c r="C23" i="11"/>
  <c r="C22" i="13"/>
  <c r="L21" i="13"/>
  <c r="M21" i="13" s="1"/>
  <c r="C23" i="13" l="1"/>
  <c r="L22" i="13"/>
  <c r="M22" i="13" s="1"/>
  <c r="C24" i="11"/>
  <c r="L23" i="11"/>
  <c r="M23" i="11" s="1"/>
  <c r="C25" i="11" l="1"/>
  <c r="L24" i="11"/>
  <c r="M24" i="11" s="1"/>
  <c r="C24" i="13"/>
  <c r="L23" i="13"/>
  <c r="M23" i="13" s="1"/>
  <c r="C25" i="13" l="1"/>
  <c r="L24" i="13"/>
  <c r="M24" i="13" s="1"/>
  <c r="C26" i="11"/>
  <c r="L25" i="11"/>
  <c r="M25" i="11" s="1"/>
  <c r="C27" i="11" l="1"/>
  <c r="L26" i="11"/>
  <c r="M26" i="11" s="1"/>
  <c r="L25" i="13"/>
  <c r="M25" i="13" s="1"/>
  <c r="C26" i="13"/>
  <c r="C27" i="13" l="1"/>
  <c r="L26" i="13"/>
  <c r="M26" i="13" s="1"/>
  <c r="C28" i="11"/>
  <c r="L27" i="11"/>
  <c r="M27" i="11" s="1"/>
  <c r="L28" i="11" l="1"/>
  <c r="M28" i="11" s="1"/>
  <c r="C29" i="11"/>
  <c r="L29" i="11" s="1"/>
  <c r="M29" i="11" s="1"/>
  <c r="M30" i="11" s="1"/>
  <c r="C4" i="11" s="1"/>
  <c r="D4" i="11" s="1"/>
  <c r="C28" i="13"/>
  <c r="L27" i="13"/>
  <c r="M27" i="13" s="1"/>
  <c r="L28" i="13" l="1"/>
  <c r="M28" i="13" s="1"/>
  <c r="C29" i="13"/>
  <c r="L29" i="13" s="1"/>
  <c r="M29" i="13" s="1"/>
  <c r="M30" i="13" s="1"/>
  <c r="C4" i="13" s="1"/>
  <c r="D4" i="13" s="1"/>
  <c r="K9" i="1" a="1"/>
  <c r="K9" i="1" s="1"/>
  <c r="F4" i="11"/>
  <c r="H4" i="11"/>
  <c r="I9" i="1" s="1" a="1"/>
  <c r="I9" i="1" s="1"/>
  <c r="M9" i="1" l="1" a="1"/>
  <c r="M9" i="1" s="1"/>
  <c r="G4" i="11"/>
  <c r="O9" i="1" s="1" a="1"/>
  <c r="O9" i="1" s="1"/>
  <c r="K9" i="12" a="1"/>
  <c r="K9" i="12" s="1"/>
  <c r="F4" i="13"/>
  <c r="H4" i="13"/>
  <c r="I9" i="12" s="1" a="1"/>
  <c r="I9" i="12" s="1"/>
  <c r="M9" i="12" l="1" a="1"/>
  <c r="M9" i="12" s="1"/>
  <c r="G4" i="13"/>
  <c r="O9" i="12" s="1" a="1"/>
  <c r="O9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<sst xmlns="http://schemas.openxmlformats.org/spreadsheetml/2006/main" count="326" uniqueCount="208">
  <si>
    <t>Maximaal omvorm 
vermogen per paneel</t>
  </si>
  <si>
    <t>Soort</t>
  </si>
  <si>
    <t>Situatie woning (reden van opstellingskeuze)</t>
  </si>
  <si>
    <t>GoodWe</t>
  </si>
  <si>
    <t>Dak zonder noemenswaardige schaduw</t>
  </si>
  <si>
    <t>700W</t>
  </si>
  <si>
    <t>GoodWe + Tigo's</t>
  </si>
  <si>
    <t>Dak met een aantal panelen in andere hellingshoek of met harde schaduw door schoorsteen of dakkapel</t>
  </si>
  <si>
    <t>500W</t>
  </si>
  <si>
    <t>SolarEdge</t>
  </si>
  <si>
    <t>Dak met complexe opstelling en veel schaduw en eis om per paneel te monitoren (let op minimaal 5 per orientatie)</t>
  </si>
  <si>
    <t>Enphase</t>
  </si>
  <si>
    <t xml:space="preserve">Dak met complexe opstelling en veel schaduw en eis om per paneel te monitoren </t>
  </si>
  <si>
    <r>
      <rPr>
        <sz val="11"/>
        <color theme="10"/>
        <rFont val="Franklin Gothic Book"/>
        <family val="2"/>
        <scheme val="minor"/>
      </rPr>
      <t xml:space="preserve">Gelezen? Ga dan door naar </t>
    </r>
    <r>
      <rPr>
        <u/>
        <sz val="11"/>
        <color theme="10"/>
        <rFont val="Franklin Gothic Book"/>
        <family val="2"/>
        <scheme val="minor"/>
      </rPr>
      <t>stap 2</t>
    </r>
  </si>
  <si>
    <t>Vraag</t>
  </si>
  <si>
    <t>Aandachtspunt offerte:</t>
  </si>
  <si>
    <r>
      <rPr>
        <b/>
        <sz val="11"/>
        <color theme="1"/>
        <rFont val="Franklin Gothic Book"/>
        <family val="2"/>
        <scheme val="minor"/>
      </rPr>
      <t>Bij 3 fase netaansluiting:</t>
    </r>
    <r>
      <rPr>
        <sz val="11"/>
        <color theme="1"/>
        <rFont val="Franklin Gothic Book"/>
        <family val="2"/>
        <scheme val="minor"/>
      </rPr>
      <t xml:space="preserve"> Maximaal voor een 1 fase </t>
    </r>
    <r>
      <rPr>
        <b/>
        <sz val="11"/>
        <color theme="1"/>
        <rFont val="Franklin Gothic Book"/>
        <family val="2"/>
        <scheme val="minor"/>
      </rPr>
      <t>omvormer</t>
    </r>
    <r>
      <rPr>
        <sz val="11"/>
        <color theme="1"/>
        <rFont val="Franklin Gothic Book"/>
        <family val="2"/>
        <scheme val="minor"/>
      </rPr>
      <t xml:space="preserve"> 4200W en anders overrgaan op type 3 Fase met maximaal 12000W </t>
    </r>
    <r>
      <rPr>
        <b/>
        <sz val="11"/>
        <color theme="1"/>
        <rFont val="Franklin Gothic Book"/>
        <family val="2"/>
        <scheme val="minor"/>
      </rPr>
      <t>omvormer</t>
    </r>
    <r>
      <rPr>
        <sz val="11"/>
        <color theme="1"/>
        <rFont val="Franklin Gothic Book"/>
        <family val="2"/>
        <scheme val="minor"/>
      </rPr>
      <t xml:space="preserve">
</t>
    </r>
    <r>
      <rPr>
        <b/>
        <sz val="11"/>
        <color theme="1"/>
        <rFont val="Franklin Gothic Book"/>
        <family val="2"/>
        <scheme val="minor"/>
      </rPr>
      <t xml:space="preserve">Bij 1 fase netaansluiting: </t>
    </r>
    <r>
      <rPr>
        <sz val="11"/>
        <color theme="1"/>
        <rFont val="Franklin Gothic Book"/>
        <family val="2"/>
        <scheme val="minor"/>
      </rPr>
      <t xml:space="preserve">Maximaal 5000W </t>
    </r>
    <r>
      <rPr>
        <b/>
        <sz val="11"/>
        <color theme="1"/>
        <rFont val="Franklin Gothic Book"/>
        <family val="2"/>
        <scheme val="minor"/>
      </rPr>
      <t>Omvormer</t>
    </r>
    <r>
      <rPr>
        <sz val="11"/>
        <color theme="1"/>
        <rFont val="Franklin Gothic Book"/>
        <family val="2"/>
        <scheme val="minor"/>
      </rPr>
      <t xml:space="preserve"> toepassen</t>
    </r>
  </si>
  <si>
    <t>Voor opbrengstverwachting icm hellingshoek en windrichting 
Zie voor meer info tabel hier in de TopicStart</t>
  </si>
  <si>
    <t>Platdak</t>
  </si>
  <si>
    <t>Bij een Oost West Opstelling altijd omvormer met 2 MPPT 
of elk paneel voorzien van een optimizer</t>
  </si>
  <si>
    <t>https://youtu.be/9GvhDhCSJgo</t>
  </si>
  <si>
    <t xml:space="preserve">   </t>
  </si>
  <si>
    <t>Legenda:</t>
  </si>
  <si>
    <t>Invulveld</t>
  </si>
  <si>
    <t>Controle veld: Kan</t>
  </si>
  <si>
    <t>Aantal</t>
  </si>
  <si>
    <t>Omschrijving</t>
  </si>
  <si>
    <t>Specs</t>
  </si>
  <si>
    <t>Kolom1</t>
  </si>
  <si>
    <t>Prijs per eenheid</t>
  </si>
  <si>
    <t>Bedrag</t>
  </si>
  <si>
    <t>Controle veld: Uitdaging</t>
  </si>
  <si>
    <t>Controle veld: Kan niet</t>
  </si>
  <si>
    <t>Schuindak</t>
  </si>
  <si>
    <t>Arbeid inclusief kleinmateriaal en werkschakelaars e.d.</t>
  </si>
  <si>
    <t>Zuid</t>
  </si>
  <si>
    <t>Vanwege type dakvlak of op platdak vanwege spreiden van de opwekking over de dag heen.</t>
  </si>
  <si>
    <t>Omvormer advies</t>
  </si>
  <si>
    <t>Verwachte opbrengst bij Zuid in kwh/per jaar</t>
  </si>
  <si>
    <t>Geinstalleerd WattPiek</t>
  </si>
  <si>
    <t>Totaal Prijs voorstel per wattpiek € / WP</t>
  </si>
  <si>
    <t xml:space="preserve">Totaal Prijs voorstel per wattpiek € / WP </t>
  </si>
  <si>
    <t xml:space="preserve">Aantal panelen in harde schaduw of met een 
afwijkende hellingshoek zoals bij een dakkapel. Of bij een combinatie van schuin en plat dak op 1 omvormer. Kies dan het aantal van plat dak ivm de mindere hellingshoek. </t>
  </si>
  <si>
    <t>1 Fase MAX Omvormer</t>
  </si>
  <si>
    <t>3 Fase MAX Omvormer</t>
  </si>
  <si>
    <t>3 Fase 25A</t>
  </si>
  <si>
    <t>Omvormer 1</t>
  </si>
  <si>
    <t>GoodWe GW3600D-NS 1 fase omvormer met Wifi en 10 jaar fabrieksgarantie</t>
  </si>
  <si>
    <t>Geen tweede nodig; Omvormer 1 dekt het bereik</t>
  </si>
  <si>
    <t>Uiteraard kunnen aan deze tool geen enkele rechten worden ontleend</t>
  </si>
  <si>
    <t>TOTAAL Exclusief btw 
(vrij van BTW voor particuliere woningen)</t>
  </si>
  <si>
    <r>
      <rPr>
        <b/>
        <sz val="11"/>
        <color theme="10"/>
        <rFont val="Franklin Gothic Book"/>
        <family val="2"/>
        <scheme val="minor"/>
      </rPr>
      <t xml:space="preserve">Als je vragen hebt plaats deze dan in groepen op bijvoorbeeld Facebook of </t>
    </r>
    <r>
      <rPr>
        <b/>
        <u/>
        <sz val="11"/>
        <color theme="10"/>
        <rFont val="Franklin Gothic Book"/>
        <family val="2"/>
        <scheme val="minor"/>
      </rPr>
      <t>op Tweakers :-)</t>
    </r>
  </si>
  <si>
    <t>Investering</t>
  </si>
  <si>
    <t>Opbrengst</t>
  </si>
  <si>
    <t>Opbrengs</t>
  </si>
  <si>
    <t>Afschrijving</t>
  </si>
  <si>
    <t>Rendement</t>
  </si>
  <si>
    <t xml:space="preserve">Rendement </t>
  </si>
  <si>
    <t>Terugverdientijd</t>
  </si>
  <si>
    <t>*</t>
  </si>
  <si>
    <t>Vuistregel: 2kwh per voorheen 1m3 gas</t>
  </si>
  <si>
    <t>€ gem per jaar</t>
  </si>
  <si>
    <t>€ per jaar</t>
  </si>
  <si>
    <t>% gem per jaar</t>
  </si>
  <si>
    <t>in jaren</t>
  </si>
  <si>
    <t>**</t>
  </si>
  <si>
    <t>Vuistregel: 0,2kwh per kilometer</t>
  </si>
  <si>
    <t>Toekomstige grootverbruikers:</t>
  </si>
  <si>
    <t>Jaar</t>
  </si>
  <si>
    <t>Opwekking</t>
  </si>
  <si>
    <t>Standaard verbruik</t>
  </si>
  <si>
    <t>Warmtepomp *</t>
  </si>
  <si>
    <t>Elektrische auto **</t>
  </si>
  <si>
    <t>Direct eigengebruik</t>
  </si>
  <si>
    <t>prijs per kwh</t>
  </si>
  <si>
    <t>teruglever
vergoeding</t>
  </si>
  <si>
    <t>saldering</t>
  </si>
  <si>
    <t>hoog tarief</t>
  </si>
  <si>
    <t>teruglever tarief</t>
  </si>
  <si>
    <t>kWh</t>
  </si>
  <si>
    <t>%</t>
  </si>
  <si>
    <t>Euro</t>
  </si>
  <si>
    <t> Montage materiaal Solarstell (20 jaar fabrieksgarantie)</t>
  </si>
  <si>
    <t>specs 1</t>
  </si>
  <si>
    <t>specs 2</t>
  </si>
  <si>
    <t>Montage materiaal Solarstell incl. ballast (20 jaar fabrieksgarantie)</t>
  </si>
  <si>
    <t>1 Fase 40A</t>
  </si>
  <si>
    <t>Max 1 Fase 5750W omvormer</t>
  </si>
  <si>
    <t xml:space="preserve">1 Fase 35A </t>
  </si>
  <si>
    <t>Max 1 Fase 4200W of 3 Fase 12000W omvormer</t>
  </si>
  <si>
    <t>Montage 2-6 zonnepanelen</t>
  </si>
  <si>
    <t>Montage 7 zonnepanelen</t>
  </si>
  <si>
    <t>Montage 8 zonnepanelen</t>
  </si>
  <si>
    <t>Montage 9 zonnepanelen</t>
  </si>
  <si>
    <t>Montage 10 zonnepanelen</t>
  </si>
  <si>
    <t>Montage 11 zonnepanelen</t>
  </si>
  <si>
    <t>Montage 12 zonnepanelen</t>
  </si>
  <si>
    <t>Montage 13 zonnepanelen</t>
  </si>
  <si>
    <t>Montage 14 zonnepanelen</t>
  </si>
  <si>
    <t>Montage 15 zonnepanelen</t>
  </si>
  <si>
    <t>Montage 16 zonnepanelen</t>
  </si>
  <si>
    <t>Montage 17 zonnepanelen</t>
  </si>
  <si>
    <t>Montage 18 zonnepanelen</t>
  </si>
  <si>
    <t>Montage 19 zonnepanelen</t>
  </si>
  <si>
    <t>Montage 20 zonnepanelen</t>
  </si>
  <si>
    <t>Montage 21 zonnepanelen</t>
  </si>
  <si>
    <t>Montage 22 zonnepanelen</t>
  </si>
  <si>
    <t>Montage 23 zonnepanelen</t>
  </si>
  <si>
    <t>Montage 24 zonnepanelen</t>
  </si>
  <si>
    <t>Montage 25 zonnepanelen</t>
  </si>
  <si>
    <t>Montage 26 zonnepanelen</t>
  </si>
  <si>
    <t>Montage 27 zonnepanelen</t>
  </si>
  <si>
    <t>Montage 28 zonnepanelen</t>
  </si>
  <si>
    <t>Montage 29 zonnepanelen</t>
  </si>
  <si>
    <t>Montage 30 zonnepanelen</t>
  </si>
  <si>
    <t>Montage 31 zonnepanelen</t>
  </si>
  <si>
    <t>Montage 32 zonnepanelen</t>
  </si>
  <si>
    <t>Montage 33 zonnepanelen</t>
  </si>
  <si>
    <t>Montage 34 zonnepanelen</t>
  </si>
  <si>
    <t>Montage 35 zonnepanelen</t>
  </si>
  <si>
    <t>Montage 36 zonnepanelen</t>
  </si>
  <si>
    <t>Montage 37 zonnepanelen</t>
  </si>
  <si>
    <t>Montage 38 zonnepanelen</t>
  </si>
  <si>
    <t>Montage 39 zonnepanelen</t>
  </si>
  <si>
    <t>Montage 40 zonnepanelen</t>
  </si>
  <si>
    <r>
      <t>Tigo</t>
    </r>
    <r>
      <rPr>
        <sz val="11"/>
        <color rgb="FF777777"/>
        <rFont val="Open Sans"/>
        <family val="2"/>
      </rPr>
      <t> TS4-A-O optimalisatie MC4 | max 700 Wp</t>
    </r>
  </si>
  <si>
    <t>NVT</t>
  </si>
  <si>
    <t>GoodWe GW700-XS 1 fase omvormer met Wifi en 10 jaar fabrieksgarantie</t>
  </si>
  <si>
    <t>1 Fase omvormer 1MPPT</t>
  </si>
  <si>
    <t>GoodWe GW1000-XS 1 fase omvormer met Wifi en 10 jaar fabrieksgarantie</t>
  </si>
  <si>
    <t>GoodWe GW1500-XS 1 fase omvormer met Wifi en 10 jaar fabrieksgarantie</t>
  </si>
  <si>
    <t>GoodWe GW2000-XS 1 fase omvormer met Wifi en 10 jaar fabrieksgarantie</t>
  </si>
  <si>
    <t>GoodWe GW2500-XS 1 fase omvormer met Wifi en 10 jaar fabrieksgarantie</t>
  </si>
  <si>
    <t>GoodWe GW3000-XS 1 fase omvormer met Wifi en 10 jaar fabrieksgarantie</t>
  </si>
  <si>
    <t>GoodWe GW3000D-NS 1 fase omvormer met Wifi en 10 jaar fabrieksgarantie</t>
  </si>
  <si>
    <t>1 Fase omvormer 2MPPT</t>
  </si>
  <si>
    <t>GoodWe GW4200D-NS 1 fase omvormer met Wifi en 10 jaar fabrieksgarantie</t>
  </si>
  <si>
    <t>GoodWe GW5000D-NS 1 fase omvormer met Wifi en 10 jaar fabrieksgarantie</t>
  </si>
  <si>
    <t>GoodWe GW4K-DT 3 fase omvormer met Wifi en 10 jaar fabrieksgarantie</t>
  </si>
  <si>
    <t>3 Fase omvormer 2MPPT</t>
  </si>
  <si>
    <t>GoodWe GW5K-DT 3 fase omvormer met Wifi en 10 jaar fabrieksgarantie</t>
  </si>
  <si>
    <t>GoodWe GW6K-DT G2 3 fase omvormer met Wifi en 10 jaar fabrieksgarantie</t>
  </si>
  <si>
    <t>GoodWe GW8K-DT G2 3 fase omvormer met Wifi en 10 jaar fabrieksgarantie</t>
  </si>
  <si>
    <t>GoodWe GW10KT-DT 3 fase omvormer met Wifi en 10 jaar fabrieksgarantie</t>
  </si>
  <si>
    <t>GoodWe GW12KN-DT 3 fase omvormer met Wifi en 10 jaar fabrieksgarantie</t>
  </si>
  <si>
    <t>Oost - West</t>
  </si>
  <si>
    <t>Verwachte opbrengst bij Oost-West in kwh/per jaar</t>
  </si>
  <si>
    <t xml:space="preserve">Keuze voor oriëntatie </t>
  </si>
  <si>
    <t xml:space="preserve">Verwachte opbrengst in kwh/per jaar </t>
  </si>
  <si>
    <t>Prijsniveau</t>
  </si>
  <si>
    <t>€</t>
  </si>
  <si>
    <t>€€</t>
  </si>
  <si>
    <t>€€€</t>
  </si>
  <si>
    <t>€€€€</t>
  </si>
  <si>
    <t>Maximaal EU rendement 
type omvormer</t>
  </si>
  <si>
    <t>onbeperkt</t>
  </si>
  <si>
    <t>290W</t>
  </si>
  <si>
    <t>Merk</t>
  </si>
  <si>
    <t>Optie</t>
  </si>
  <si>
    <t>Minimaal aantal 
panelen per oriëntatie</t>
  </si>
  <si>
    <t>Naam inclusief synoniemen</t>
  </si>
  <si>
    <t xml:space="preserve">Micro omvormers </t>
  </si>
  <si>
    <t xml:space="preserve">Serie omvormer </t>
  </si>
  <si>
    <t>Verhouding verkoop bij referentie bedrijf</t>
  </si>
  <si>
    <t>Keuze tussen 370WP en 405WP. Ze zijn zelfde wat betreft WP/m2 enkel is het 405WP paneel gewoon groter :-)</t>
  </si>
  <si>
    <t>Bij plat dak kun je kiezen voor een Oost West 
opstelling, dan passen er meer per m2</t>
  </si>
  <si>
    <t xml:space="preserve">Per paneel tussen de 370WP en 405WP (03-2023) Indicatie opbrengst: 
Zuiden WP *0,92 
Oost - West WP*0,82
Kan soms wel hoger uitpakken in ideale situatie in een jaar met extra zonuren
</t>
  </si>
  <si>
    <t>2- Soort paneel</t>
  </si>
  <si>
    <t>3- Hoeveel stuks op het platte dak</t>
  </si>
  <si>
    <t>4- Opstelling Oriëntatie tov de zon</t>
  </si>
  <si>
    <t>Gebruiken we voor calculatie montage materiaal</t>
  </si>
  <si>
    <t>Gebruiken we voor calculatie omvormer advies en verwachte opwekking</t>
  </si>
  <si>
    <t>Opmerking 1</t>
  </si>
  <si>
    <t>Opmerking 2</t>
  </si>
  <si>
    <t xml:space="preserve">Gebruiken we voor calculatie omvormer opties  </t>
  </si>
  <si>
    <t>5- Type netaansluiting</t>
  </si>
  <si>
    <r>
      <t xml:space="preserve">1 Fase (vaak 1x35A of 1x40A) </t>
    </r>
    <r>
      <rPr>
        <i/>
        <sz val="11"/>
        <color theme="1"/>
        <rFont val="Franklin Gothic Book"/>
        <family val="2"/>
        <scheme val="minor"/>
      </rPr>
      <t>of</t>
    </r>
    <r>
      <rPr>
        <sz val="11"/>
        <color theme="1"/>
        <rFont val="Franklin Gothic Book"/>
        <family val="2"/>
        <scheme val="minor"/>
      </rPr>
      <t xml:space="preserve"> 
3 Fase (vaak 3x25A) 
Dit kun je zien in je meterkast of op je eind afrekening en of bij je netbeheerder op te vragen.</t>
    </r>
  </si>
  <si>
    <t>Voer je netaansluiting hier. Zeker vanaf 11 panelen noodzakelijke informatie</t>
  </si>
  <si>
    <t>5- Omvormer</t>
  </si>
  <si>
    <t>Kies uit de keuzelijst je omvormer Zie cel "Omvormer advies" voor juiste indicatie van de grootte voor de omvormer, je mag hier best 5% onder of 20% bovenuit komen in je selectie</t>
  </si>
  <si>
    <t>Zie velden met max omvormer per type net aansluiting of deze groen oranje of rood kleuren. En uiteraard of in de buurt van omvormer advies zit.</t>
  </si>
  <si>
    <r>
      <rPr>
        <b/>
        <sz val="11"/>
        <color theme="10"/>
        <rFont val="Franklin Gothic Book"/>
        <family val="2"/>
        <scheme val="minor"/>
      </rPr>
      <t xml:space="preserve">Bovenstaande gelezen en de verplichte :-) video bekeken? Ga dan door naar </t>
    </r>
    <r>
      <rPr>
        <b/>
        <u/>
        <sz val="11"/>
        <color theme="10"/>
        <rFont val="Franklin Gothic Book"/>
        <family val="2"/>
        <scheme val="minor"/>
      </rPr>
      <t xml:space="preserve">stap 3 </t>
    </r>
    <r>
      <rPr>
        <b/>
        <sz val="11"/>
        <color theme="10"/>
        <rFont val="Franklin Gothic Book"/>
        <family val="2"/>
        <scheme val="minor"/>
      </rPr>
      <t>en maak je eigen offerte! (door de gele cellen te vullen)</t>
    </r>
  </si>
  <si>
    <t>Serie omvormer + enkele optimizers</t>
  </si>
  <si>
    <t>Serie omvormer + elk paneeel een optimizer</t>
  </si>
  <si>
    <t>Serie omvormer (centraal)</t>
  </si>
  <si>
    <r>
      <rPr>
        <b/>
        <sz val="11"/>
        <color theme="1"/>
        <rFont val="Franklin Gothic Book"/>
        <family val="2"/>
        <scheme val="minor"/>
      </rPr>
      <t xml:space="preserve">Serie omvormer </t>
    </r>
    <r>
      <rPr>
        <sz val="11"/>
        <color theme="1"/>
        <rFont val="Franklin Gothic Book"/>
        <family val="2"/>
        <scheme val="minor"/>
      </rPr>
      <t>&gt; String omvormer &gt; centrale omvormer</t>
    </r>
  </si>
  <si>
    <r>
      <rPr>
        <b/>
        <sz val="11"/>
        <color theme="1"/>
        <rFont val="Franklin Gothic Book"/>
        <family val="2"/>
        <scheme val="minor"/>
      </rPr>
      <t>Micro omvormer</t>
    </r>
    <r>
      <rPr>
        <sz val="11"/>
        <color theme="1"/>
        <rFont val="Franklin Gothic Book"/>
        <family val="2"/>
        <scheme val="minor"/>
      </rPr>
      <t xml:space="preserve"> &gt; Individuele omvormer &gt; Enphase &gt; Parallel</t>
    </r>
  </si>
  <si>
    <r>
      <t xml:space="preserve">1- Hoeveel panelen wil je ongeveer / passen er?
Zie maatvoering op offerte blad. 
</t>
    </r>
    <r>
      <rPr>
        <b/>
        <sz val="11"/>
        <rFont val="Franklin Gothic Book"/>
        <family val="2"/>
        <scheme val="minor"/>
      </rPr>
      <t>Advies:</t>
    </r>
    <r>
      <rPr>
        <sz val="11"/>
        <rFont val="Franklin Gothic Book"/>
        <family val="2"/>
        <scheme val="minor"/>
      </rPr>
      <t xml:space="preserve"> Doe het gelijk goed en leg een dakVLAK netjes vol, zeker nu met de minimale wettelijk vastgestelde terugleververgoeding van 80% tov het kale leveringstarief</t>
    </r>
  </si>
  <si>
    <r>
      <t xml:space="preserve">Omvormer 2 </t>
    </r>
    <r>
      <rPr>
        <b/>
        <sz val="11"/>
        <color theme="1"/>
        <rFont val="Franklin Gothic Book"/>
        <family val="2"/>
        <scheme val="minor"/>
      </rPr>
      <t>optioneel</t>
    </r>
  </si>
  <si>
    <t xml:space="preserve">           Concept Offerte Tool</t>
  </si>
  <si>
    <r>
      <t xml:space="preserve">Wil je een defintief voorstel omdat je wilt laten plaatsen en woon je in Overijssel-Gelderland-Flevoland?
Vul dan je gegevens in op  </t>
    </r>
    <r>
      <rPr>
        <b/>
        <u/>
        <sz val="11"/>
        <color theme="10"/>
        <rFont val="Franklin Gothic Book"/>
        <family val="2"/>
        <scheme val="minor"/>
      </rPr>
      <t xml:space="preserve">https://e-duurzaam.nl/aanvraag-zonnepanelen-via-offertetool/ </t>
    </r>
  </si>
  <si>
    <t>Aantal IQ8+</t>
  </si>
  <si>
    <t xml:space="preserve">Voer je netaansluiting hier. 
</t>
  </si>
  <si>
    <t xml:space="preserve">Enphase Basis pakket </t>
  </si>
  <si>
    <t>Enphase Micro omvormer IQ8+</t>
  </si>
  <si>
    <t>Enphase specs</t>
  </si>
  <si>
    <t xml:space="preserve">Let op de kleur aanduiding max micro icm netaansluiting en basis pakket </t>
  </si>
  <si>
    <t>Opbrengst van opwekking</t>
  </si>
  <si>
    <t>Maximaal aantal micro omvormers icm 1 fase netaansluiting</t>
  </si>
  <si>
    <t>Maximaal aantal micro omvormers icm 3 fase netaansluiting</t>
  </si>
  <si>
    <t>Let op: in 90% van de gevallen is een serie opstelling de beste keuze wat betreft waar voor je geld. Voel je vrij om hierin af te wijken na stap 3 met optie Micro</t>
  </si>
  <si>
    <t>Enphase basis pakket 1 fase Incl Envoy-S
Standard en Q-relais</t>
  </si>
  <si>
    <t>Enphase basis pakket 3 fase  Incl Envoy-S
Standard en Q-relais</t>
  </si>
  <si>
    <t>450Wp All Black Aiko 1722*1134mm </t>
  </si>
  <si>
    <t>420WP ALL Black Jinko 1722*1134 mm</t>
  </si>
  <si>
    <t>450Wp All Black Aiko 15jr garantie</t>
  </si>
  <si>
    <t>TW 400-420MAP 25jaar garantie</t>
  </si>
  <si>
    <t>400Wp All Black TW Solar 1722x1134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</si>
</sst>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&quot;€&quot;\ * #,##0.00_);_(&quot;€&quot;\ * \(#,##0.00\);_(&quot;€&quot;\ 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#,##0_ ;\-#,##0\ "/>
    <numFmt numFmtId="169" formatCode="&quot;€&quot;\ #,##0.00"/>
    <numFmt numFmtId="170" formatCode="_([$€-2]\ * #,##0.00_);_([$€-2]\ * \(#,##0.00\);_([$€-2]\ * &quot;-&quot;??_);_(@_)"/>
    <numFmt numFmtId="171" formatCode="_ [$€-2]\ * #,##0.00_ ;_ [$€-2]\ * \-#,##0.00_ ;_ [$€-2]\ * &quot;-&quot;??_ ;_ @_ "/>
  </numFmts>
  <fonts count="39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1"/>
      <color rgb="FF777777"/>
      <name val="Open Sans"/>
      <family val="2"/>
    </font>
    <font>
      <b/>
      <u/>
      <sz val="11"/>
      <color theme="10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0"/>
      <name val="Franklin Gothic Book"/>
      <family val="2"/>
      <scheme val="minor"/>
    </font>
    <font>
      <b/>
      <sz val="11"/>
      <color theme="10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1"/>
      <color theme="0" tint="-4.9989318521683403E-2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1"/>
      <name val="Franklin Gothic Book"/>
      <family val="2"/>
      <scheme val="minor"/>
    </font>
    <font>
      <sz val="8"/>
      <name val="Franklin Gothic Book"/>
      <family val="2"/>
      <scheme val="minor"/>
    </font>
    <font>
      <sz val="28"/>
      <color theme="0" tint="-0.249977111117893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9"/>
      <color rgb="FF33333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 tint="0.59996337778862885"/>
      </right>
      <top style="medium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medium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medium">
        <color indexed="64"/>
      </right>
      <top style="medium">
        <color indexed="64"/>
      </top>
      <bottom style="thin">
        <color theme="6" tint="0.59996337778862885"/>
      </bottom>
      <diagonal/>
    </border>
    <border>
      <left style="medium">
        <color indexed="64"/>
      </left>
      <right style="thin">
        <color theme="6" tint="0.59996337778862885"/>
      </right>
      <top style="medium">
        <color indexed="64"/>
      </top>
      <bottom style="medium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medium">
        <color indexed="64"/>
      </top>
      <bottom style="medium">
        <color indexed="64"/>
      </bottom>
      <diagonal/>
    </border>
    <border>
      <left style="thin">
        <color theme="6" tint="0.5999633777886288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medium">
        <color indexed="64"/>
      </bottom>
      <diagonal/>
    </border>
    <border>
      <left style="thin">
        <color theme="6" tint="0.5999633777886288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 tint="0.59996337778862885"/>
      </right>
      <top/>
      <bottom style="medium">
        <color indexed="64"/>
      </bottom>
      <diagonal/>
    </border>
    <border>
      <left style="thin">
        <color theme="6" tint="0.5999633777886288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505050"/>
      </right>
      <top style="medium">
        <color indexed="64"/>
      </top>
      <bottom style="medium">
        <color rgb="FF505050"/>
      </bottom>
      <diagonal/>
    </border>
    <border>
      <left/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medium">
        <color rgb="FF505050"/>
      </right>
      <top/>
      <bottom style="medium">
        <color indexed="64"/>
      </bottom>
      <diagonal/>
    </border>
    <border>
      <left style="medium">
        <color indexed="64"/>
      </left>
      <right style="medium">
        <color rgb="FF505050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65">
    <xf numFmtId="0" fontId="0" fillId="0" borderId="0" xfId="0"/>
    <xf numFmtId="0" fontId="1" fillId="34" borderId="27" xfId="0" applyFont="1" applyFill="1" applyBorder="1" applyAlignment="1">
      <alignment horizontal="left" vertical="center" wrapText="1" indent="1"/>
    </xf>
    <xf numFmtId="0" fontId="1" fillId="34" borderId="29" xfId="0" applyFont="1" applyFill="1" applyBorder="1" applyAlignment="1">
      <alignment horizontal="left" vertical="center" wrapText="1" indent="1"/>
    </xf>
    <xf numFmtId="168" fontId="0" fillId="37" borderId="33" xfId="1" applyNumberFormat="1" applyFont="1" applyFill="1" applyBorder="1" applyAlignment="1" applyProtection="1">
      <alignment horizontal="center" vertical="center"/>
      <protection locked="0"/>
    </xf>
    <xf numFmtId="0" fontId="0" fillId="37" borderId="32" xfId="0" applyFill="1" applyBorder="1" applyAlignment="1" applyProtection="1">
      <alignment horizontal="left" vertical="center" wrapText="1" indent="1"/>
      <protection locked="0"/>
    </xf>
    <xf numFmtId="168" fontId="0" fillId="0" borderId="34" xfId="1" applyNumberFormat="1" applyFont="1" applyFill="1" applyBorder="1" applyAlignment="1" applyProtection="1">
      <alignment horizontal="center" vertical="center" wrapText="1"/>
    </xf>
    <xf numFmtId="1" fontId="0" fillId="37" borderId="19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14" xfId="1" applyNumberFormat="1" applyFont="1" applyBorder="1" applyAlignment="1" applyProtection="1">
      <alignment horizontal="center" vertical="center" wrapText="1"/>
    </xf>
    <xf numFmtId="168" fontId="0" fillId="37" borderId="19" xfId="1" applyNumberFormat="1" applyFont="1" applyFill="1" applyBorder="1" applyAlignment="1" applyProtection="1">
      <alignment horizontal="center" vertical="center" wrapText="1"/>
      <protection locked="0"/>
    </xf>
    <xf numFmtId="1" fontId="0" fillId="37" borderId="34" xfId="1" applyNumberFormat="1" applyFont="1" applyFill="1" applyBorder="1" applyAlignment="1" applyProtection="1">
      <alignment horizontal="center" vertical="center" wrapText="1"/>
      <protection locked="0"/>
    </xf>
    <xf numFmtId="0" fontId="0" fillId="37" borderId="34" xfId="0" applyFill="1" applyBorder="1" applyAlignment="1" applyProtection="1">
      <alignment horizontal="left" vertical="center" wrapText="1" indent="1"/>
      <protection locked="0"/>
    </xf>
    <xf numFmtId="168" fontId="0" fillId="0" borderId="19" xfId="1" applyNumberFormat="1" applyFont="1" applyBorder="1" applyAlignment="1" applyProtection="1">
      <alignment horizontal="center" vertical="center" wrapText="1"/>
    </xf>
    <xf numFmtId="0" fontId="0" fillId="34" borderId="29" xfId="0" applyFill="1" applyBorder="1" applyAlignment="1">
      <alignment horizontal="left" vertical="center" wrapText="1" indent="1"/>
    </xf>
    <xf numFmtId="0" fontId="0" fillId="34" borderId="31" xfId="0" applyFill="1" applyBorder="1" applyAlignment="1">
      <alignment horizontal="left" vertical="center" wrapText="1" indent="1"/>
    </xf>
    <xf numFmtId="0" fontId="25" fillId="0" borderId="0" xfId="0" applyFont="1"/>
    <xf numFmtId="0" fontId="2" fillId="0" borderId="0" xfId="0" applyFont="1"/>
    <xf numFmtId="0" fontId="0" fillId="37" borderId="0" xfId="0" applyFill="1" applyAlignment="1">
      <alignment vertical="top"/>
    </xf>
    <xf numFmtId="0" fontId="0" fillId="39" borderId="0" xfId="0" applyFill="1" applyAlignment="1">
      <alignment vertical="top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38" borderId="0" xfId="0" applyFill="1" applyAlignment="1">
      <alignment vertical="top"/>
    </xf>
    <xf numFmtId="0" fontId="0" fillId="0" borderId="14" xfId="0" applyBorder="1" applyAlignment="1">
      <alignment horizontal="left" vertical="center" wrapText="1" indent="1"/>
    </xf>
    <xf numFmtId="44" fontId="0" fillId="0" borderId="14" xfId="0" applyNumberFormat="1" applyBorder="1" applyAlignment="1">
      <alignment horizontal="left" vertical="center" wrapText="1" indent="1"/>
    </xf>
    <xf numFmtId="44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0" borderId="0" xfId="0" applyFill="1" applyAlignment="1">
      <alignment vertical="top"/>
    </xf>
    <xf numFmtId="168" fontId="0" fillId="0" borderId="0" xfId="1" applyNumberFormat="1" applyFont="1" applyBorder="1" applyAlignment="1" applyProtection="1">
      <alignment horizontal="center" vertical="center" wrapText="1"/>
    </xf>
    <xf numFmtId="44" fontId="0" fillId="0" borderId="0" xfId="0" applyNumberFormat="1" applyAlignment="1">
      <alignment horizontal="left" vertical="center" wrapText="1" indent="1"/>
    </xf>
    <xf numFmtId="44" fontId="0" fillId="0" borderId="0" xfId="0" applyNumberFormat="1" applyAlignment="1">
      <alignment horizontal="center" vertical="center" wrapText="1"/>
    </xf>
    <xf numFmtId="0" fontId="0" fillId="0" borderId="19" xfId="0" applyBorder="1" applyAlignment="1">
      <alignment horizontal="left" vertical="center" wrapText="1" indent="1"/>
    </xf>
    <xf numFmtId="0" fontId="0" fillId="34" borderId="35" xfId="0" applyFill="1" applyBorder="1" applyAlignment="1">
      <alignment horizontal="left" vertical="center" wrapText="1" indent="1"/>
    </xf>
    <xf numFmtId="44" fontId="0" fillId="0" borderId="19" xfId="0" applyNumberFormat="1" applyBorder="1" applyAlignment="1">
      <alignment horizontal="left" vertical="center" wrapText="1" indent="1"/>
    </xf>
    <xf numFmtId="44" fontId="0" fillId="0" borderId="19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wrapText="1" indent="1"/>
    </xf>
    <xf numFmtId="1" fontId="0" fillId="0" borderId="14" xfId="0" applyNumberFormat="1" applyBorder="1" applyAlignment="1">
      <alignment horizontal="left" vertical="center" wrapText="1" indent="1"/>
    </xf>
    <xf numFmtId="0" fontId="32" fillId="0" borderId="19" xfId="0" applyFont="1" applyBorder="1" applyAlignment="1">
      <alignment horizontal="left" vertical="center" wrapText="1" indent="1"/>
    </xf>
    <xf numFmtId="168" fontId="0" fillId="0" borderId="0" xfId="1" applyNumberFormat="1" applyFont="1" applyFill="1" applyBorder="1" applyAlignment="1" applyProtection="1">
      <alignment horizontal="center" vertical="center" wrapText="1"/>
    </xf>
    <xf numFmtId="44" fontId="18" fillId="35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left" vertical="center" wrapText="1" indent="1"/>
    </xf>
    <xf numFmtId="0" fontId="0" fillId="34" borderId="30" xfId="0" applyFill="1" applyBorder="1" applyAlignment="1">
      <alignment horizontal="left" vertical="center" wrapText="1" indent="1"/>
    </xf>
    <xf numFmtId="44" fontId="0" fillId="0" borderId="22" xfId="0" applyNumberFormat="1" applyBorder="1" applyAlignment="1">
      <alignment horizontal="left" vertical="center" wrapText="1" indent="1"/>
    </xf>
    <xf numFmtId="44" fontId="0" fillId="0" borderId="22" xfId="0" applyNumberFormat="1" applyBorder="1" applyAlignment="1">
      <alignment horizontal="center" vertical="center" wrapText="1"/>
    </xf>
    <xf numFmtId="0" fontId="0" fillId="34" borderId="0" xfId="0" applyFill="1" applyAlignment="1">
      <alignment horizontal="left" vertical="center" wrapText="1" indent="1"/>
    </xf>
    <xf numFmtId="1" fontId="0" fillId="0" borderId="13" xfId="0" applyNumberFormat="1" applyBorder="1" applyAlignment="1">
      <alignment horizontal="left" vertical="center" wrapText="1" indent="1"/>
    </xf>
    <xf numFmtId="44" fontId="0" fillId="0" borderId="15" xfId="0" applyNumberFormat="1" applyBorder="1" applyAlignment="1">
      <alignment horizontal="left" vertical="center" wrapText="1" indent="1"/>
    </xf>
    <xf numFmtId="0" fontId="0" fillId="34" borderId="14" xfId="0" applyFill="1" applyBorder="1" applyAlignment="1">
      <alignment horizontal="left" vertical="center" wrapText="1" indent="1"/>
    </xf>
    <xf numFmtId="0" fontId="0" fillId="34" borderId="36" xfId="0" applyFill="1" applyBorder="1" applyAlignment="1">
      <alignment horizontal="left" vertical="center" wrapText="1" indent="1"/>
    </xf>
    <xf numFmtId="0" fontId="31" fillId="0" borderId="0" xfId="0" applyFont="1" applyAlignment="1">
      <alignment horizontal="center" wrapText="1"/>
    </xf>
    <xf numFmtId="0" fontId="0" fillId="34" borderId="37" xfId="0" applyFill="1" applyBorder="1" applyAlignment="1">
      <alignment horizontal="left" vertical="center" wrapText="1" indent="1"/>
    </xf>
    <xf numFmtId="0" fontId="0" fillId="34" borderId="38" xfId="0" applyFill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44" fontId="15" fillId="2" borderId="2" xfId="0" applyNumberFormat="1" applyFont="1" applyFill="1" applyBorder="1" applyAlignment="1">
      <alignment horizontal="center" vertical="center"/>
    </xf>
    <xf numFmtId="0" fontId="20" fillId="0" borderId="0" xfId="47" applyAlignment="1" applyProtection="1">
      <alignment vertical="top" wrapText="1"/>
    </xf>
    <xf numFmtId="0" fontId="20" fillId="0" borderId="0" xfId="47" applyAlignment="1" applyProtection="1">
      <alignment wrapText="1"/>
    </xf>
    <xf numFmtId="0" fontId="33" fillId="0" borderId="0" xfId="0" applyFont="1" applyAlignment="1">
      <alignment vertical="top"/>
    </xf>
    <xf numFmtId="0" fontId="0" fillId="35" borderId="0" xfId="0" applyFill="1"/>
    <xf numFmtId="0" fontId="0" fillId="35" borderId="0" xfId="0" applyFill="1" applyAlignment="1">
      <alignment horizontal="right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right" vertical="center"/>
    </xf>
    <xf numFmtId="0" fontId="18" fillId="0" borderId="21" xfId="0" applyFont="1" applyBorder="1" applyAlignment="1">
      <alignment vertical="top"/>
    </xf>
    <xf numFmtId="0" fontId="18" fillId="0" borderId="22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4" fillId="35" borderId="13" xfId="47" applyFont="1" applyFill="1" applyBorder="1" applyAlignment="1" applyProtection="1">
      <alignment horizontal="left" vertical="top"/>
    </xf>
    <xf numFmtId="0" fontId="24" fillId="35" borderId="14" xfId="47" applyFont="1" applyFill="1" applyBorder="1" applyAlignment="1" applyProtection="1">
      <alignment horizontal="left" vertical="center"/>
    </xf>
    <xf numFmtId="0" fontId="20" fillId="0" borderId="0" xfId="47" applyFill="1" applyAlignment="1" applyProtection="1">
      <alignment horizontal="center" vertical="center"/>
    </xf>
    <xf numFmtId="0" fontId="26" fillId="0" borderId="0" xfId="0" applyFont="1"/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70" fontId="27" fillId="39" borderId="1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0" fontId="26" fillId="0" borderId="0" xfId="0" applyNumberFormat="1" applyFont="1" applyAlignment="1">
      <alignment horizontal="center" vertical="center"/>
    </xf>
    <xf numFmtId="170" fontId="28" fillId="0" borderId="0" xfId="0" applyNumberFormat="1" applyFont="1"/>
    <xf numFmtId="170" fontId="26" fillId="0" borderId="0" xfId="0" applyNumberFormat="1" applyFont="1"/>
    <xf numFmtId="0" fontId="26" fillId="0" borderId="0" xfId="0" applyFont="1" applyAlignment="1">
      <alignment vertical="center" textRotation="90"/>
    </xf>
    <xf numFmtId="9" fontId="26" fillId="0" borderId="0" xfId="5" applyFont="1" applyProtection="1"/>
    <xf numFmtId="9" fontId="26" fillId="0" borderId="0" xfId="5" applyFont="1" applyBorder="1" applyAlignment="1" applyProtection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0" fontId="26" fillId="0" borderId="17" xfId="0" applyNumberFormat="1" applyFont="1" applyBorder="1" applyAlignment="1">
      <alignment horizontal="center" vertical="center"/>
    </xf>
    <xf numFmtId="1" fontId="26" fillId="0" borderId="0" xfId="0" applyNumberFormat="1" applyFont="1"/>
    <xf numFmtId="0" fontId="26" fillId="0" borderId="1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170" fontId="27" fillId="0" borderId="15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44" fontId="27" fillId="0" borderId="18" xfId="0" applyNumberFormat="1" applyFont="1" applyBorder="1" applyAlignment="1">
      <alignment horizontal="center" vertical="center"/>
    </xf>
    <xf numFmtId="170" fontId="27" fillId="0" borderId="19" xfId="0" applyNumberFormat="1" applyFont="1" applyBorder="1" applyAlignment="1">
      <alignment horizontal="center" vertical="center"/>
    </xf>
    <xf numFmtId="171" fontId="27" fillId="0" borderId="19" xfId="0" applyNumberFormat="1" applyFont="1" applyBorder="1" applyAlignment="1">
      <alignment horizontal="center" vertical="center"/>
    </xf>
    <xf numFmtId="10" fontId="27" fillId="39" borderId="19" xfId="0" applyNumberFormat="1" applyFont="1" applyFill="1" applyBorder="1" applyAlignment="1">
      <alignment horizontal="center" vertical="center"/>
    </xf>
    <xf numFmtId="4" fontId="27" fillId="39" borderId="20" xfId="0" applyNumberFormat="1" applyFont="1" applyFill="1" applyBorder="1" applyAlignment="1">
      <alignment horizontal="center" vertical="center"/>
    </xf>
    <xf numFmtId="0" fontId="26" fillId="0" borderId="13" xfId="0" applyFont="1" applyBorder="1"/>
    <xf numFmtId="0" fontId="26" fillId="0" borderId="14" xfId="0" applyFont="1" applyBorder="1"/>
    <xf numFmtId="0" fontId="26" fillId="0" borderId="15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left" vertical="center" wrapText="1" indent="1"/>
    </xf>
    <xf numFmtId="0" fontId="1" fillId="34" borderId="30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14" xfId="0" applyFont="1" applyBorder="1" applyAlignment="1">
      <alignment horizontal="left" vertical="center" wrapText="1" inden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2" fillId="0" borderId="32" xfId="0" applyFont="1" applyBorder="1" applyAlignment="1">
      <alignment horizontal="left" vertical="center" wrapText="1" indent="1"/>
    </xf>
    <xf numFmtId="1" fontId="31" fillId="0" borderId="39" xfId="47" applyNumberFormat="1" applyFont="1" applyFill="1" applyBorder="1" applyAlignment="1" applyProtection="1">
      <alignment horizontal="center" vertical="top" wrapText="1"/>
    </xf>
    <xf numFmtId="0" fontId="31" fillId="0" borderId="0" xfId="47" applyFont="1" applyFill="1" applyAlignment="1" applyProtection="1">
      <alignment horizontal="center" vertical="top" wrapText="1"/>
    </xf>
    <xf numFmtId="0" fontId="31" fillId="0" borderId="24" xfId="47" applyFont="1" applyFill="1" applyBorder="1" applyAlignment="1" applyProtection="1">
      <alignment horizontal="center" vertical="top" wrapText="1"/>
    </xf>
    <xf numFmtId="2" fontId="31" fillId="0" borderId="12" xfId="47" applyNumberFormat="1" applyFont="1" applyFill="1" applyBorder="1" applyAlignment="1" applyProtection="1">
      <alignment horizontal="center" vertical="top" wrapText="1"/>
    </xf>
    <xf numFmtId="169" fontId="31" fillId="0" borderId="12" xfId="47" applyNumberFormat="1" applyFont="1" applyFill="1" applyBorder="1" applyAlignment="1" applyProtection="1">
      <alignment horizontal="center" vertical="top" wrapText="1"/>
    </xf>
    <xf numFmtId="10" fontId="31" fillId="0" borderId="12" xfId="47" applyNumberFormat="1" applyFont="1" applyFill="1" applyBorder="1" applyAlignment="1" applyProtection="1">
      <alignment horizontal="center" vertical="top" wrapText="1"/>
    </xf>
    <xf numFmtId="165" fontId="18" fillId="34" borderId="12" xfId="0" applyNumberFormat="1" applyFont="1" applyFill="1" applyBorder="1" applyAlignment="1">
      <alignment horizontal="right" vertical="center" wrapText="1"/>
    </xf>
    <xf numFmtId="1" fontId="31" fillId="0" borderId="12" xfId="47" applyNumberFormat="1" applyFont="1" applyBorder="1" applyAlignment="1" applyProtection="1">
      <alignment vertical="center"/>
    </xf>
    <xf numFmtId="0" fontId="20" fillId="0" borderId="23" xfId="47" applyBorder="1" applyAlignment="1" applyProtection="1">
      <alignment vertical="center"/>
    </xf>
    <xf numFmtId="0" fontId="0" fillId="34" borderId="19" xfId="0" applyFill="1" applyBorder="1" applyAlignment="1">
      <alignment vertical="center"/>
    </xf>
    <xf numFmtId="0" fontId="26" fillId="37" borderId="13" xfId="0" applyFont="1" applyFill="1" applyBorder="1" applyAlignment="1" applyProtection="1">
      <alignment horizontal="center" vertical="center"/>
      <protection locked="0"/>
    </xf>
    <xf numFmtId="0" fontId="26" fillId="37" borderId="14" xfId="0" applyFont="1" applyFill="1" applyBorder="1" applyAlignment="1" applyProtection="1">
      <alignment horizontal="center" vertical="center"/>
      <protection locked="0"/>
    </xf>
    <xf numFmtId="9" fontId="26" fillId="37" borderId="14" xfId="5" applyFont="1" applyFill="1" applyBorder="1" applyAlignment="1" applyProtection="1">
      <alignment horizontal="center" vertical="center"/>
      <protection locked="0"/>
    </xf>
    <xf numFmtId="170" fontId="26" fillId="37" borderId="14" xfId="0" applyNumberFormat="1" applyFont="1" applyFill="1" applyBorder="1" applyAlignment="1" applyProtection="1">
      <alignment horizontal="center" vertical="center"/>
      <protection locked="0"/>
    </xf>
    <xf numFmtId="170" fontId="26" fillId="37" borderId="15" xfId="0" applyNumberFormat="1" applyFont="1" applyFill="1" applyBorder="1" applyAlignment="1" applyProtection="1">
      <alignment horizontal="center" vertical="center"/>
      <protection locked="0"/>
    </xf>
    <xf numFmtId="0" fontId="26" fillId="37" borderId="16" xfId="0" applyFont="1" applyFill="1" applyBorder="1" applyAlignment="1" applyProtection="1">
      <alignment horizontal="center" vertical="center"/>
      <protection locked="0"/>
    </xf>
    <xf numFmtId="0" fontId="26" fillId="37" borderId="0" xfId="0" applyFont="1" applyFill="1" applyAlignment="1" applyProtection="1">
      <alignment horizontal="center" vertical="center"/>
      <protection locked="0"/>
    </xf>
    <xf numFmtId="9" fontId="26" fillId="37" borderId="0" xfId="5" applyFont="1" applyFill="1" applyBorder="1" applyAlignment="1" applyProtection="1">
      <alignment horizontal="center" vertical="center"/>
      <protection locked="0"/>
    </xf>
    <xf numFmtId="170" fontId="26" fillId="37" borderId="0" xfId="0" applyNumberFormat="1" applyFont="1" applyFill="1" applyAlignment="1" applyProtection="1">
      <alignment horizontal="center" vertical="center"/>
      <protection locked="0"/>
    </xf>
    <xf numFmtId="170" fontId="26" fillId="37" borderId="17" xfId="0" applyNumberFormat="1" applyFont="1" applyFill="1" applyBorder="1" applyAlignment="1" applyProtection="1">
      <alignment horizontal="center" vertical="center"/>
      <protection locked="0"/>
    </xf>
    <xf numFmtId="0" fontId="26" fillId="37" borderId="18" xfId="0" applyFont="1" applyFill="1" applyBorder="1" applyAlignment="1" applyProtection="1">
      <alignment horizontal="center" vertical="center"/>
      <protection locked="0"/>
    </xf>
    <xf numFmtId="0" fontId="26" fillId="37" borderId="19" xfId="0" applyFont="1" applyFill="1" applyBorder="1" applyAlignment="1" applyProtection="1">
      <alignment horizontal="center" vertical="center"/>
      <protection locked="0"/>
    </xf>
    <xf numFmtId="9" fontId="26" fillId="37" borderId="19" xfId="5" applyFont="1" applyFill="1" applyBorder="1" applyAlignment="1" applyProtection="1">
      <alignment horizontal="center" vertical="center"/>
      <protection locked="0"/>
    </xf>
    <xf numFmtId="170" fontId="26" fillId="37" borderId="19" xfId="0" applyNumberFormat="1" applyFont="1" applyFill="1" applyBorder="1" applyAlignment="1" applyProtection="1">
      <alignment horizontal="center" vertical="center"/>
      <protection locked="0"/>
    </xf>
    <xf numFmtId="170" fontId="26" fillId="37" borderId="20" xfId="0" applyNumberFormat="1" applyFont="1" applyFill="1" applyBorder="1" applyAlignment="1" applyProtection="1">
      <alignment horizontal="center" vertical="center"/>
      <protection locked="0"/>
    </xf>
    <xf numFmtId="0" fontId="18" fillId="0" borderId="40" xfId="0" applyFont="1" applyBorder="1" applyAlignment="1">
      <alignment horizontal="left" vertical="center" wrapText="1"/>
    </xf>
    <xf numFmtId="1" fontId="18" fillId="0" borderId="41" xfId="0" applyNumberFormat="1" applyFont="1" applyBorder="1" applyAlignment="1">
      <alignment horizontal="left" vertical="center" wrapText="1" indent="1"/>
    </xf>
    <xf numFmtId="0" fontId="18" fillId="0" borderId="42" xfId="0" applyFont="1" applyBorder="1" applyAlignment="1">
      <alignment horizontal="left" vertical="center" wrapText="1"/>
    </xf>
    <xf numFmtId="1" fontId="18" fillId="0" borderId="20" xfId="0" applyNumberFormat="1" applyFont="1" applyBorder="1" applyAlignment="1">
      <alignment horizontal="left" vertical="center" wrapText="1" indent="1"/>
    </xf>
    <xf numFmtId="44" fontId="0" fillId="34" borderId="0" xfId="0" applyNumberFormat="1" applyFill="1" applyAlignment="1">
      <alignment horizontal="left" vertical="center" wrapText="1" indent="1"/>
    </xf>
    <xf numFmtId="44" fontId="0" fillId="34" borderId="0" xfId="0" applyNumberFormat="1" applyFill="1" applyAlignment="1">
      <alignment horizontal="center" vertical="center" wrapText="1"/>
    </xf>
    <xf numFmtId="0" fontId="31" fillId="0" borderId="0" xfId="0" applyFont="1" applyAlignment="1">
      <alignment horizontal="right" vertical="center" wrapText="1" indent="1"/>
    </xf>
    <xf numFmtId="1" fontId="31" fillId="0" borderId="0" xfId="0" applyNumberFormat="1" applyFont="1" applyAlignment="1">
      <alignment horizontal="right" vertical="center" wrapText="1"/>
    </xf>
    <xf numFmtId="165" fontId="31" fillId="0" borderId="0" xfId="0" applyNumberFormat="1" applyFont="1" applyAlignment="1">
      <alignment horizontal="right" vertical="center" wrapText="1"/>
    </xf>
    <xf numFmtId="0" fontId="20" fillId="35" borderId="0" xfId="47" applyFill="1" applyAlignment="1" applyProtection="1">
      <alignment horizontal="left"/>
    </xf>
    <xf numFmtId="0" fontId="18" fillId="36" borderId="12" xfId="0" applyFont="1" applyFill="1" applyBorder="1" applyAlignment="1">
      <alignment horizontal="center"/>
    </xf>
    <xf numFmtId="0" fontId="18" fillId="36" borderId="12" xfId="0" applyFont="1" applyFill="1" applyBorder="1"/>
    <xf numFmtId="0" fontId="18" fillId="36" borderId="22" xfId="0" applyFont="1" applyFill="1" applyBorder="1" applyAlignment="1">
      <alignment horizontal="right" wrapText="1"/>
    </xf>
    <xf numFmtId="0" fontId="18" fillId="36" borderId="22" xfId="0" applyFont="1" applyFill="1" applyBorder="1" applyAlignment="1">
      <alignment horizontal="center" wrapText="1"/>
    </xf>
    <xf numFmtId="0" fontId="18" fillId="36" borderId="22" xfId="0" applyFont="1" applyFill="1" applyBorder="1"/>
    <xf numFmtId="0" fontId="18" fillId="35" borderId="0" xfId="0" applyFont="1" applyFill="1"/>
    <xf numFmtId="0" fontId="0" fillId="36" borderId="24" xfId="0" applyFill="1" applyBorder="1" applyAlignment="1">
      <alignment horizontal="center" vertical="center"/>
    </xf>
    <xf numFmtId="10" fontId="0" fillId="36" borderId="0" xfId="0" quotePrefix="1" applyNumberFormat="1" applyFill="1" applyAlignment="1">
      <alignment horizontal="right"/>
    </xf>
    <xf numFmtId="0" fontId="0" fillId="36" borderId="0" xfId="0" applyFill="1" applyAlignment="1">
      <alignment horizontal="right" vertical="center"/>
    </xf>
    <xf numFmtId="0" fontId="0" fillId="36" borderId="0" xfId="0" applyFill="1" applyAlignment="1">
      <alignment horizontal="right"/>
    </xf>
    <xf numFmtId="9" fontId="0" fillId="36" borderId="0" xfId="0" applyNumberFormat="1" applyFill="1" applyAlignment="1">
      <alignment horizontal="center"/>
    </xf>
    <xf numFmtId="0" fontId="0" fillId="36" borderId="0" xfId="0" applyFill="1"/>
    <xf numFmtId="0" fontId="0" fillId="36" borderId="24" xfId="0" quotePrefix="1" applyFill="1" applyBorder="1" applyAlignment="1">
      <alignment horizontal="center" vertical="center"/>
    </xf>
    <xf numFmtId="0" fontId="0" fillId="36" borderId="0" xfId="0" quotePrefix="1" applyFill="1" applyAlignment="1">
      <alignment horizontal="right" vertical="center"/>
    </xf>
    <xf numFmtId="0" fontId="0" fillId="36" borderId="25" xfId="0" applyFill="1" applyBorder="1" applyAlignment="1">
      <alignment horizontal="center" vertical="center"/>
    </xf>
    <xf numFmtId="0" fontId="0" fillId="36" borderId="25" xfId="0" quotePrefix="1" applyFill="1" applyBorder="1" applyAlignment="1">
      <alignment horizontal="center" vertical="center"/>
    </xf>
    <xf numFmtId="10" fontId="0" fillId="36" borderId="19" xfId="0" quotePrefix="1" applyNumberFormat="1" applyFill="1" applyBorder="1" applyAlignment="1">
      <alignment horizontal="right"/>
    </xf>
    <xf numFmtId="0" fontId="0" fillId="36" borderId="19" xfId="0" quotePrefix="1" applyFill="1" applyBorder="1" applyAlignment="1">
      <alignment horizontal="right" vertical="center"/>
    </xf>
    <xf numFmtId="0" fontId="0" fillId="36" borderId="19" xfId="0" applyFill="1" applyBorder="1" applyAlignment="1">
      <alignment horizontal="right"/>
    </xf>
    <xf numFmtId="9" fontId="0" fillId="36" borderId="19" xfId="0" applyNumberFormat="1" applyFill="1" applyBorder="1" applyAlignment="1">
      <alignment horizontal="center"/>
    </xf>
    <xf numFmtId="0" fontId="0" fillId="36" borderId="19" xfId="0" applyFill="1" applyBorder="1"/>
    <xf numFmtId="0" fontId="0" fillId="35" borderId="16" xfId="0" applyFill="1" applyBorder="1"/>
    <xf numFmtId="0" fontId="0" fillId="35" borderId="17" xfId="0" applyFill="1" applyBorder="1" applyAlignment="1">
      <alignment horizontal="center" vertical="center"/>
    </xf>
    <xf numFmtId="0" fontId="0" fillId="35" borderId="18" xfId="0" applyFill="1" applyBorder="1"/>
    <xf numFmtId="0" fontId="0" fillId="35" borderId="20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18" fillId="0" borderId="23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8" fillId="35" borderId="15" xfId="0" applyFont="1" applyFill="1" applyBorder="1" applyAlignment="1">
      <alignment horizontal="left" vertical="top" wrapText="1"/>
    </xf>
    <xf numFmtId="0" fontId="20" fillId="0" borderId="0" xfId="47" applyBorder="1" applyAlignment="1" applyProtection="1">
      <alignment vertical="top" wrapText="1"/>
    </xf>
    <xf numFmtId="0" fontId="18" fillId="35" borderId="0" xfId="0" applyFont="1" applyFill="1" applyAlignment="1">
      <alignment horizontal="left" vertical="top" wrapText="1"/>
    </xf>
    <xf numFmtId="0" fontId="24" fillId="0" borderId="0" xfId="47" applyFont="1" applyFill="1" applyBorder="1" applyAlignment="1" applyProtection="1">
      <alignment horizontal="left"/>
    </xf>
    <xf numFmtId="0" fontId="18" fillId="0" borderId="15" xfId="0" applyFont="1" applyBorder="1" applyAlignment="1">
      <alignment vertical="top" wrapText="1"/>
    </xf>
    <xf numFmtId="0" fontId="20" fillId="0" borderId="24" xfId="47" applyBorder="1" applyAlignment="1" applyProtection="1">
      <alignment vertical="top" wrapText="1"/>
    </xf>
    <xf numFmtId="0" fontId="18" fillId="0" borderId="21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0" fillId="0" borderId="23" xfId="47" applyBorder="1" applyAlignment="1" applyProtection="1">
      <alignment vertical="top" wrapText="1"/>
    </xf>
    <xf numFmtId="0" fontId="0" fillId="0" borderId="22" xfId="0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18" fillId="35" borderId="21" xfId="0" applyFont="1" applyFill="1" applyBorder="1"/>
    <xf numFmtId="0" fontId="20" fillId="34" borderId="19" xfId="47" applyFill="1" applyBorder="1" applyAlignment="1">
      <alignment horizontal="center" vertical="center" wrapText="1"/>
    </xf>
    <xf numFmtId="0" fontId="20" fillId="0" borderId="19" xfId="47" applyBorder="1" applyAlignment="1">
      <alignment horizontal="center" vertical="center" wrapText="1"/>
    </xf>
    <xf numFmtId="0" fontId="30" fillId="0" borderId="0" xfId="47" applyFont="1" applyAlignment="1" applyProtection="1">
      <alignment vertical="top" wrapText="1"/>
    </xf>
    <xf numFmtId="0" fontId="1" fillId="0" borderId="16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0" fillId="39" borderId="0" xfId="0" applyFill="1"/>
    <xf numFmtId="0" fontId="0" fillId="0" borderId="0" xfId="47" applyFont="1" applyFill="1" applyAlignment="1" applyProtection="1">
      <alignment horizontal="left" vertical="center" wrapText="1" indent="1"/>
    </xf>
    <xf numFmtId="1" fontId="31" fillId="0" borderId="15" xfId="0" applyNumberFormat="1" applyFont="1" applyBorder="1" applyAlignment="1">
      <alignment horizontal="right" vertical="center" wrapText="1"/>
    </xf>
    <xf numFmtId="165" fontId="31" fillId="0" borderId="20" xfId="0" applyNumberFormat="1" applyFont="1" applyBorder="1" applyAlignment="1">
      <alignment horizontal="right" vertical="center" wrapText="1"/>
    </xf>
    <xf numFmtId="168" fontId="0" fillId="34" borderId="29" xfId="0" applyNumberFormat="1" applyFill="1" applyBorder="1" applyAlignment="1">
      <alignment horizontal="left" vertical="center" wrapText="1" indent="1"/>
    </xf>
    <xf numFmtId="168" fontId="0" fillId="34" borderId="31" xfId="0" applyNumberFormat="1" applyFill="1" applyBorder="1" applyAlignment="1">
      <alignment horizontal="left" vertical="center" wrapText="1" indent="1"/>
    </xf>
    <xf numFmtId="44" fontId="0" fillId="0" borderId="23" xfId="0" applyNumberFormat="1" applyBorder="1" applyAlignment="1">
      <alignment horizontal="center" vertical="center" wrapText="1"/>
    </xf>
    <xf numFmtId="168" fontId="0" fillId="0" borderId="18" xfId="1" applyNumberFormat="1" applyFont="1" applyBorder="1" applyAlignment="1" applyProtection="1">
      <alignment horizontal="center" vertical="center" wrapText="1"/>
    </xf>
    <xf numFmtId="0" fontId="0" fillId="37" borderId="19" xfId="0" applyFill="1" applyBorder="1" applyAlignment="1" applyProtection="1">
      <alignment horizontal="left" vertical="center" wrapText="1" indent="1"/>
      <protection locked="0"/>
    </xf>
    <xf numFmtId="0" fontId="0" fillId="37" borderId="43" xfId="0" applyFill="1" applyBorder="1" applyAlignment="1" applyProtection="1">
      <alignment horizontal="left" vertical="center" wrapText="1" indent="1"/>
      <protection locked="0"/>
    </xf>
    <xf numFmtId="0" fontId="0" fillId="34" borderId="22" xfId="0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left" vertical="center" wrapText="1" indent="1"/>
    </xf>
    <xf numFmtId="0" fontId="31" fillId="0" borderId="39" xfId="0" applyFont="1" applyBorder="1" applyAlignment="1">
      <alignment horizontal="right" vertical="center" wrapText="1" indent="1"/>
    </xf>
    <xf numFmtId="0" fontId="31" fillId="0" borderId="25" xfId="0" applyFont="1" applyBorder="1" applyAlignment="1">
      <alignment horizontal="right" vertical="center" wrapText="1" indent="1"/>
    </xf>
    <xf numFmtId="0" fontId="18" fillId="0" borderId="2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169" fontId="0" fillId="39" borderId="0" xfId="0" applyNumberFormat="1" applyFill="1"/>
    <xf numFmtId="0" fontId="0" fillId="39" borderId="12" xfId="0" applyFill="1" applyBorder="1"/>
    <xf numFmtId="169" fontId="1" fillId="0" borderId="28" xfId="0" applyNumberFormat="1" applyFont="1" applyBorder="1" applyAlignment="1">
      <alignment vertical="center" wrapText="1"/>
    </xf>
    <xf numFmtId="169" fontId="1" fillId="0" borderId="31" xfId="0" applyNumberFormat="1" applyFont="1" applyBorder="1" applyAlignment="1">
      <alignment vertical="center" wrapText="1"/>
    </xf>
    <xf numFmtId="169" fontId="0" fillId="0" borderId="0" xfId="0" applyNumberFormat="1"/>
    <xf numFmtId="169" fontId="1" fillId="0" borderId="15" xfId="0" applyNumberFormat="1" applyFont="1" applyBorder="1" applyAlignment="1">
      <alignment vertical="center" wrapText="1"/>
    </xf>
    <xf numFmtId="169" fontId="1" fillId="0" borderId="17" xfId="0" applyNumberFormat="1" applyFont="1" applyBorder="1" applyAlignment="1">
      <alignment vertical="center" wrapText="1"/>
    </xf>
    <xf numFmtId="169" fontId="0" fillId="0" borderId="17" xfId="0" applyNumberFormat="1" applyBorder="1"/>
    <xf numFmtId="169" fontId="0" fillId="0" borderId="20" xfId="0" applyNumberFormat="1" applyBorder="1"/>
    <xf numFmtId="1" fontId="0" fillId="0" borderId="12" xfId="0" applyNumberFormat="1" applyBorder="1" applyAlignment="1">
      <alignment horizontal="left" vertical="center" wrapText="1" indent="1"/>
    </xf>
    <xf numFmtId="0" fontId="24" fillId="35" borderId="16" xfId="47" applyFont="1" applyFill="1" applyBorder="1" applyAlignment="1" applyProtection="1">
      <alignment horizontal="left" vertical="top"/>
    </xf>
    <xf numFmtId="0" fontId="24" fillId="35" borderId="0" xfId="47" applyFont="1" applyFill="1" applyBorder="1" applyAlignment="1" applyProtection="1">
      <alignment horizontal="left" vertical="center"/>
    </xf>
    <xf numFmtId="0" fontId="18" fillId="35" borderId="17" xfId="0" applyFont="1" applyFill="1" applyBorder="1" applyAlignment="1">
      <alignment horizontal="left" vertical="top" wrapText="1"/>
    </xf>
    <xf numFmtId="0" fontId="0" fillId="39" borderId="0" xfId="0" applyFill="1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1" fillId="34" borderId="16" xfId="0" applyFont="1" applyFill="1" applyBorder="1" applyAlignment="1">
      <alignment horizontal="left" vertical="center" wrapText="1" indent="1"/>
    </xf>
    <xf numFmtId="0" fontId="38" fillId="0" borderId="0" xfId="0" applyFont="1"/>
    <xf numFmtId="0" fontId="18" fillId="36" borderId="21" xfId="0" applyFont="1" applyFill="1" applyBorder="1" applyAlignment="1">
      <alignment horizontal="center"/>
    </xf>
    <xf numFmtId="0" fontId="18" fillId="36" borderId="22" xfId="0" applyFont="1" applyFill="1" applyBorder="1" applyAlignment="1">
      <alignment horizontal="center"/>
    </xf>
    <xf numFmtId="0" fontId="18" fillId="36" borderId="23" xfId="0" applyFont="1" applyFill="1" applyBorder="1" applyAlignment="1">
      <alignment horizontal="center"/>
    </xf>
    <xf numFmtId="0" fontId="20" fillId="35" borderId="0" xfId="47" applyFill="1" applyAlignment="1" applyProtection="1">
      <alignment horizontal="left"/>
    </xf>
    <xf numFmtId="0" fontId="0" fillId="36" borderId="13" xfId="0" applyFill="1" applyBorder="1" applyAlignment="1">
      <alignment horizontal="left"/>
    </xf>
    <xf numFmtId="0" fontId="0" fillId="36" borderId="14" xfId="0" applyFill="1" applyBorder="1" applyAlignment="1">
      <alignment horizontal="left"/>
    </xf>
    <xf numFmtId="0" fontId="0" fillId="36" borderId="15" xfId="0" applyFill="1" applyBorder="1" applyAlignment="1">
      <alignment horizontal="left"/>
    </xf>
    <xf numFmtId="0" fontId="0" fillId="36" borderId="16" xfId="0" applyFill="1" applyBorder="1" applyAlignment="1">
      <alignment horizontal="left"/>
    </xf>
    <xf numFmtId="0" fontId="0" fillId="36" borderId="0" xfId="0" applyFill="1" applyAlignment="1">
      <alignment horizontal="left"/>
    </xf>
    <xf numFmtId="0" fontId="0" fillId="36" borderId="17" xfId="0" applyFill="1" applyBorder="1" applyAlignment="1">
      <alignment horizontal="left"/>
    </xf>
    <xf numFmtId="0" fontId="0" fillId="36" borderId="18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0" fontId="0" fillId="36" borderId="20" xfId="0" applyFill="1" applyBorder="1" applyAlignment="1">
      <alignment horizontal="left"/>
    </xf>
    <xf numFmtId="0" fontId="24" fillId="0" borderId="18" xfId="47" applyFont="1" applyFill="1" applyBorder="1" applyAlignment="1" applyProtection="1">
      <alignment horizontal="left"/>
    </xf>
    <xf numFmtId="0" fontId="24" fillId="0" borderId="19" xfId="47" applyFont="1" applyFill="1" applyBorder="1" applyAlignment="1" applyProtection="1">
      <alignment horizontal="left"/>
    </xf>
    <xf numFmtId="0" fontId="24" fillId="0" borderId="20" xfId="47" applyFont="1" applyFill="1" applyBorder="1" applyAlignment="1" applyProtection="1">
      <alignment horizontal="left"/>
    </xf>
    <xf numFmtId="0" fontId="30" fillId="0" borderId="0" xfId="47" applyFont="1" applyAlignment="1" applyProtection="1">
      <alignment horizontal="left"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34" borderId="21" xfId="0" applyFont="1" applyFill="1" applyBorder="1" applyAlignment="1">
      <alignment horizontal="right" vertical="center" wrapText="1"/>
    </xf>
    <xf numFmtId="0" fontId="18" fillId="34" borderId="22" xfId="0" applyFont="1" applyFill="1" applyBorder="1" applyAlignment="1">
      <alignment horizontal="right" vertical="center" wrapText="1"/>
    </xf>
    <xf numFmtId="0" fontId="36" fillId="0" borderId="0" xfId="47" applyFont="1" applyAlignment="1">
      <alignment horizontal="center" vertical="center" readingOrder="1"/>
    </xf>
    <xf numFmtId="0" fontId="2" fillId="0" borderId="0" xfId="0" applyFont="1" applyAlignment="1">
      <alignment horizontal="right" vertical="center" wrapText="1"/>
    </xf>
    <xf numFmtId="0" fontId="24" fillId="0" borderId="0" xfId="47" applyFont="1" applyAlignment="1" applyProtection="1">
      <alignment horizontal="left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</cellXfs>
  <cellStyles count="4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1" builtinId="26" customBuiltin="1"/>
    <cellStyle name="Hyperlink" xfId="47" builtinId="8"/>
    <cellStyle name="Invoer" xfId="14" builtinId="20" customBuiltin="1"/>
    <cellStyle name="Komma" xfId="1" builtinId="3" customBuiltin="1"/>
    <cellStyle name="Komma [0]" xfId="2" builtinId="6" customBuiltin="1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13" builtinId="28" customBuiltin="1"/>
    <cellStyle name="Notitie" xfId="20" builtinId="10" customBuiltin="1"/>
    <cellStyle name="Ongeldig" xfId="12" builtinId="27" customBuiltin="1"/>
    <cellStyle name="Procent" xfId="5" builtinId="5" customBuiltin="1"/>
    <cellStyle name="Standaard" xfId="0" builtinId="0" customBuiltin="1"/>
    <cellStyle name="Titel" xfId="6" builtinId="15" customBuiltin="1"/>
    <cellStyle name="Totaal" xfId="22" builtinId="25" customBuiltin="1"/>
    <cellStyle name="Uitvoer" xfId="15" builtinId="21" customBuiltin="1"/>
    <cellStyle name="Valuta" xfId="3" builtinId="4" customBuiltin="1"/>
    <cellStyle name="Valuta [0]" xfId="4" builtinId="7" customBuiltin="1"/>
    <cellStyle name="Verklarende tekst" xfId="21" builtinId="53" customBuiltin="1"/>
    <cellStyle name="Waarschuwingstekst" xfId="19" builtinId="11" customBuiltin="1"/>
  </cellStyles>
  <dxfs count="43"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34" formatCode="_ &quot;€&quot;\ * #,##0.00_ ;_ &quot;€&quot;\ * \-#,##0.00_ ;_ &quot;€&quot;\ * &quot;-&quot;??_ ;_ @_ 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34" formatCode="_ &quot;€&quot;\ * #,##0.00_ ;_ &quot;€&quot;\ * \-#,##0.00_ ;_ &quot;€&quot;\ * &quot;-&quot;??_ ;_ @_ "/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" formatCode="0"/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8" formatCode="#,##0_ ;\-#,##0\ 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name val="Franklin Gothic Book"/>
        <scheme val="none"/>
      </font>
      <protection locked="1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scheme val="none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34" formatCode="_ &quot;€&quot;\ * #,##0.00_ ;_ &quot;€&quot;\ * \-#,##0.00_ ;_ &quot;€&quot;\ * &quot;-&quot;??_ ;_ @_ 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34" formatCode="_ &quot;€&quot;\ * #,##0.00_ ;_ &quot;€&quot;\ * \-#,##0.00_ ;_ &quot;€&quot;\ * &quot;-&quot;??_ ;_ @_ "/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" formatCode="0"/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8" formatCode="#,##0_ ;\-#,##0\ 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name val="Franklin Gothic Book"/>
        <scheme val="minor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edrijventabel" pivot="0" count="3" xr9:uid="{00000000-0011-0000-FFFF-FFFF00000000}">
      <tableStyleElement type="wholeTable" dxfId="42"/>
      <tableStyleElement type="headerRow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9GvhDhCSJ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-duurzaam.nl/aanvraag-zonnepanelen-via-offertetool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e-duurzaam.nl/aanvraag-zonnepanelen-via-offertetoo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343905</xdr:rowOff>
    </xdr:from>
    <xdr:to>
      <xdr:col>6</xdr:col>
      <xdr:colOff>274320</xdr:colOff>
      <xdr:row>10</xdr:row>
      <xdr:rowOff>99798</xdr:rowOff>
    </xdr:to>
    <xdr:pic>
      <xdr:nvPicPr>
        <xdr:cNvPr id="9" name="Afbeelding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3DCFF-3561-D569-2B3B-BB6FB62B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0415" y="923025"/>
          <a:ext cx="5236845" cy="3327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695827</xdr:rowOff>
    </xdr:from>
    <xdr:to>
      <xdr:col>2</xdr:col>
      <xdr:colOff>1150520</xdr:colOff>
      <xdr:row>0</xdr:row>
      <xdr:rowOff>1397000</xdr:rowOff>
    </xdr:to>
    <xdr:sp macro="" textlink="">
      <xdr:nvSpPr>
        <xdr:cNvPr id="5" name="Tekstvak 2" descr="Bedrijfsnaam en slogan" title="Titel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143933" y="695827"/>
          <a:ext cx="2644887" cy="701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nl" sz="1800" baseline="0">
              <a:solidFill>
                <a:schemeClr val="bg1"/>
              </a:solidFill>
              <a:latin typeface="+mj-lt"/>
            </a:rPr>
            <a:t>Bedrijfsnaam</a:t>
          </a:r>
        </a:p>
        <a:p>
          <a:pPr algn="l" rtl="0"/>
          <a:r>
            <a:rPr lang="nl" sz="1000" baseline="0">
              <a:solidFill>
                <a:schemeClr val="bg1"/>
              </a:solidFill>
              <a:latin typeface="+mn-lt"/>
            </a:rPr>
            <a:t>Bedrijfsslogan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14433</xdr:colOff>
      <xdr:row>0</xdr:row>
      <xdr:rowOff>0</xdr:rowOff>
    </xdr:from>
    <xdr:to>
      <xdr:col>3</xdr:col>
      <xdr:colOff>11907</xdr:colOff>
      <xdr:row>1</xdr:row>
      <xdr:rowOff>117714</xdr:rowOff>
    </xdr:to>
    <xdr:pic>
      <xdr:nvPicPr>
        <xdr:cNvPr id="7" name="Afbeelding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046B9-5997-6151-9BC3-270F2BD2B148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14" y="0"/>
          <a:ext cx="3783662" cy="820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695827</xdr:rowOff>
    </xdr:from>
    <xdr:to>
      <xdr:col>2</xdr:col>
      <xdr:colOff>1150520</xdr:colOff>
      <xdr:row>0</xdr:row>
      <xdr:rowOff>1397000</xdr:rowOff>
    </xdr:to>
    <xdr:sp macro="" textlink="">
      <xdr:nvSpPr>
        <xdr:cNvPr id="2" name="Tekstvak 2" descr="Bedrijfsnaam en slogan" title="Titel">
          <a:extLst>
            <a:ext uri="{FF2B5EF4-FFF2-40B4-BE49-F238E27FC236}">
              <a16:creationId xmlns:a16="http://schemas.microsoft.com/office/drawing/2014/main" id="{C51916E2-1BAF-4ED3-8346-80581743CDAE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152400" y="695827"/>
          <a:ext cx="2255420" cy="443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nl" sz="1800" baseline="0">
              <a:solidFill>
                <a:schemeClr val="bg1"/>
              </a:solidFill>
              <a:latin typeface="+mj-lt"/>
            </a:rPr>
            <a:t>Bedrijfsnaam</a:t>
          </a:r>
        </a:p>
        <a:p>
          <a:pPr algn="l" rtl="0"/>
          <a:r>
            <a:rPr lang="nl" sz="1000" baseline="0">
              <a:solidFill>
                <a:schemeClr val="bg1"/>
              </a:solidFill>
              <a:latin typeface="+mn-lt"/>
            </a:rPr>
            <a:t>Bedrijfsslogan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96075</xdr:colOff>
      <xdr:row>0</xdr:row>
      <xdr:rowOff>95251</xdr:rowOff>
    </xdr:from>
    <xdr:to>
      <xdr:col>3</xdr:col>
      <xdr:colOff>11906</xdr:colOff>
      <xdr:row>1</xdr:row>
      <xdr:rowOff>127403</xdr:rowOff>
    </xdr:to>
    <xdr:pic>
      <xdr:nvPicPr>
        <xdr:cNvPr id="3" name="Afbeelding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860026-DFD1-469C-AE6B-BDB73843AD68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56" y="95251"/>
          <a:ext cx="3702019" cy="8060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aleItems_Table" displayName="SaleItems_Table" ref="B4:G23" headerRowDxfId="39" dataDxfId="38" totalsRowDxfId="36" tableBorderDxfId="37">
  <tableColumns count="6">
    <tableColumn id="1" xr3:uid="{00000000-0010-0000-0100-000001000000}" name="Aantal" totalsRowLabel="Totaal" dataDxfId="35"/>
    <tableColumn id="2" xr3:uid="{00000000-0010-0000-0100-000002000000}" name="Omschrijving" dataDxfId="34"/>
    <tableColumn id="8" xr3:uid="{18779E05-1207-4E99-8382-CFBDF687D5E4}" name="Specs" dataDxfId="33" totalsRowDxfId="32"/>
    <tableColumn id="7" xr3:uid="{69ABA466-3743-4312-ACF1-EA376F5FDFAC}" name="Kolom1" dataDxfId="31" totalsRowDxfId="30">
      <calculatedColumnFormula>SaleItems_Table[[#This Row],[Specs]]*SaleItems_Table[[#This Row],[Aantal]]</calculatedColumnFormula>
    </tableColumn>
    <tableColumn id="3" xr3:uid="{00000000-0010-0000-0100-000003000000}" name="Prijs per eenheid" dataDxfId="29" totalsRowDxfId="28"/>
    <tableColumn id="5" xr3:uid="{00000000-0010-0000-0100-000005000000}" name="Bedrag" totalsRowFunction="count" dataDxfId="27" totalsRowDxfId="26">
      <calculatedColumnFormula>SaleItems_Table[[#This Row],[Prijs per eenheid]]*SaleItems_Table[[#This Row],[Aantal]]</calculatedColumnFormula>
    </tableColumn>
  </tableColumns>
  <tableStyleInfo name="Bedrijventabel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0994F3-D710-42E5-A6C5-27E98AD5F1C7}" name="SaleItems_Table2" displayName="SaleItems_Table2" ref="B4:G24" headerRowDxfId="25" dataDxfId="24" totalsRowDxfId="22" tableBorderDxfId="23">
  <tableColumns count="6">
    <tableColumn id="1" xr3:uid="{8B932D03-1BE8-47BB-867C-5F1F755E76EE}" name="Aantal" totalsRowLabel="Totaal" dataDxfId="21"/>
    <tableColumn id="2" xr3:uid="{2F5B1D2A-9E2F-41F7-8AA6-6A0432EB38BA}" name="Omschrijving" dataDxfId="20"/>
    <tableColumn id="8" xr3:uid="{DD5F0791-67BE-41CE-9B0D-4A1903ED1CC2}" name="Specs" dataDxfId="19" totalsRowDxfId="18"/>
    <tableColumn id="7" xr3:uid="{21BD4559-5FB5-4798-89C1-F720A6BD1E59}" name="Kolom1" dataDxfId="17" totalsRowDxfId="16">
      <calculatedColumnFormula>SaleItems_Table2[[#This Row],[Specs]]*SaleItems_Table2[[#This Row],[Aantal]]</calculatedColumnFormula>
    </tableColumn>
    <tableColumn id="3" xr3:uid="{9F99B0EB-17E5-444A-960F-3FA9DAAE90F2}" name="Prijs per eenheid" dataDxfId="15" totalsRowDxfId="14"/>
    <tableColumn id="5" xr3:uid="{295D7D46-3990-4F16-8172-3117EC3BADBE}" name="Bedrag" totalsRowFunction="count" dataDxfId="13" totalsRowDxfId="12">
      <calculatedColumnFormula>SaleItems_Table2[[#This Row],[Prijs per eenheid]]*SaleItems_Table2[[#This Row],[Aantal]]</calculatedColumnFormula>
    </tableColumn>
  </tableColumns>
  <tableStyleInfo name="Bedrijventabel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9GvhDhCSJgo" TargetMode="External"/><Relationship Id="rId1" Type="http://schemas.openxmlformats.org/officeDocument/2006/relationships/hyperlink" Target="https://gathering.tweakers.net/forum/list_message/72195860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1drv.ms/u/s!AnNONMKqtNr7ipw5wqjuvLLhCdGJTQ?e=Rfsk8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1drv.ms/f/s!AnNONMKqtNr7i4Q5HZyPwnDTEKLVFg?e=fLxNJy" TargetMode="External"/><Relationship Id="rId1" Type="http://schemas.openxmlformats.org/officeDocument/2006/relationships/hyperlink" Target="https://gathering.tweakers.net/forum/list_messages/2138436?data%5Bfilter_topicstarter%5D=1" TargetMode="External"/><Relationship Id="rId6" Type="http://schemas.openxmlformats.org/officeDocument/2006/relationships/hyperlink" Target="https://e-duurzaam.nl/aanvraag-zonnepanelen-via-offertetool/" TargetMode="External"/><Relationship Id="rId5" Type="http://schemas.openxmlformats.org/officeDocument/2006/relationships/hyperlink" Target="https://e-duurzaam.nl/aanvraag-zonnepanelen-via-offertetool/" TargetMode="External"/><Relationship Id="rId4" Type="http://schemas.openxmlformats.org/officeDocument/2006/relationships/hyperlink" Target="https://1drv.ms/u/s!AnNONMKqtNr7ipw5wqjuvLLhCdGJTQ?e=Rfsk8f" TargetMode="External"/><Relationship Id="rId9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e-duurzaam.nl/aanvraag-zonnepanelen-via-offertetool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1drv.ms/f/s!AnNONMKqtNr7i4Q5HZyPwnDTEKLVFg?e=fLxNJy" TargetMode="External"/><Relationship Id="rId1" Type="http://schemas.openxmlformats.org/officeDocument/2006/relationships/hyperlink" Target="https://gathering.tweakers.net/forum/list_messages/2138436?data%5Bfilter_topicstarter%5D=1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1drv.ms/f/s!AnNONMKqtNr7ipxB7PuZsIrCDoEyCg?e=EaoCUC" TargetMode="External"/><Relationship Id="rId4" Type="http://schemas.openxmlformats.org/officeDocument/2006/relationships/hyperlink" Target="https://e-duurzaam.nl/aanvraag-zonnepanelen-via-offertetoo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9D9-9326-4932-BEAF-0ACD533D3725}">
  <sheetPr codeName="Blad1"/>
  <dimension ref="A1:H23"/>
  <sheetViews>
    <sheetView tabSelected="1" workbookViewId="0">
      <selection activeCell="H13" sqref="H13"/>
    </sheetView>
  </sheetViews>
  <sheetFormatPr defaultColWidth="8.33203125" defaultRowHeight="15.75" x14ac:dyDescent="0.3"/>
  <cols>
    <col min="1" max="1" width="4.44140625" style="57" bestFit="1" customWidth="1"/>
    <col min="2" max="2" width="41" style="59" bestFit="1" customWidth="1"/>
    <col min="3" max="3" width="9.44140625" style="57" bestFit="1" customWidth="1"/>
    <col min="4" max="4" width="21.88671875" style="58" customWidth="1"/>
    <col min="5" max="5" width="20.109375" style="60" bestFit="1" customWidth="1"/>
    <col min="6" max="6" width="18.33203125" style="58" customWidth="1"/>
    <col min="7" max="7" width="18.33203125" style="57" customWidth="1"/>
    <col min="8" max="8" width="15.88671875" style="57" bestFit="1" customWidth="1"/>
    <col min="9" max="9" width="95.33203125" style="57" bestFit="1" customWidth="1"/>
    <col min="10" max="16384" width="8.33203125" style="57"/>
  </cols>
  <sheetData>
    <row r="1" spans="1:8" s="156" customFormat="1" ht="16.5" thickBot="1" x14ac:dyDescent="0.35">
      <c r="A1" s="151" t="s">
        <v>158</v>
      </c>
      <c r="B1" s="151" t="s">
        <v>1</v>
      </c>
      <c r="C1" s="235" t="s">
        <v>2</v>
      </c>
      <c r="D1" s="236"/>
      <c r="E1" s="236"/>
      <c r="F1" s="236"/>
      <c r="G1" s="236"/>
      <c r="H1" s="237"/>
    </row>
    <row r="2" spans="1:8" x14ac:dyDescent="0.3">
      <c r="A2" s="157">
        <v>1</v>
      </c>
      <c r="B2" s="157" t="s">
        <v>162</v>
      </c>
      <c r="C2" s="239" t="s">
        <v>4</v>
      </c>
      <c r="D2" s="240"/>
      <c r="E2" s="240"/>
      <c r="F2" s="240"/>
      <c r="G2" s="240"/>
      <c r="H2" s="241"/>
    </row>
    <row r="3" spans="1:8" x14ac:dyDescent="0.3">
      <c r="A3" s="157">
        <v>2</v>
      </c>
      <c r="B3" s="157" t="s">
        <v>182</v>
      </c>
      <c r="C3" s="242" t="s">
        <v>7</v>
      </c>
      <c r="D3" s="243"/>
      <c r="E3" s="243"/>
      <c r="F3" s="243"/>
      <c r="G3" s="243"/>
      <c r="H3" s="244"/>
    </row>
    <row r="4" spans="1:8" x14ac:dyDescent="0.3">
      <c r="A4" s="157">
        <v>3</v>
      </c>
      <c r="B4" s="157" t="s">
        <v>183</v>
      </c>
      <c r="C4" s="242" t="s">
        <v>10</v>
      </c>
      <c r="D4" s="243"/>
      <c r="E4" s="243"/>
      <c r="F4" s="243"/>
      <c r="G4" s="243"/>
      <c r="H4" s="244"/>
    </row>
    <row r="5" spans="1:8" ht="16.5" thickBot="1" x14ac:dyDescent="0.35">
      <c r="A5" s="165">
        <v>4</v>
      </c>
      <c r="B5" s="165" t="s">
        <v>161</v>
      </c>
      <c r="C5" s="245" t="s">
        <v>12</v>
      </c>
      <c r="D5" s="246"/>
      <c r="E5" s="246"/>
      <c r="F5" s="246"/>
      <c r="G5" s="246"/>
      <c r="H5" s="247"/>
    </row>
    <row r="10" spans="1:8" ht="16.5" thickBot="1" x14ac:dyDescent="0.35"/>
    <row r="11" spans="1:8" s="156" customFormat="1" ht="48" thickBot="1" x14ac:dyDescent="0.35">
      <c r="A11" s="151" t="s">
        <v>158</v>
      </c>
      <c r="B11" s="151" t="s">
        <v>1</v>
      </c>
      <c r="C11" s="152" t="s">
        <v>149</v>
      </c>
      <c r="D11" s="153" t="s">
        <v>154</v>
      </c>
      <c r="E11" s="153" t="s">
        <v>0</v>
      </c>
      <c r="F11" s="153" t="s">
        <v>159</v>
      </c>
      <c r="G11" s="154" t="s">
        <v>163</v>
      </c>
      <c r="H11" s="155" t="s">
        <v>157</v>
      </c>
    </row>
    <row r="12" spans="1:8" x14ac:dyDescent="0.3">
      <c r="A12" s="157">
        <v>1</v>
      </c>
      <c r="B12" s="157" t="s">
        <v>184</v>
      </c>
      <c r="C12" s="157" t="s">
        <v>150</v>
      </c>
      <c r="D12" s="158">
        <v>0.97499999999999998</v>
      </c>
      <c r="E12" s="159" t="s">
        <v>155</v>
      </c>
      <c r="F12" s="160">
        <v>3</v>
      </c>
      <c r="G12" s="161">
        <v>0.7</v>
      </c>
      <c r="H12" s="162" t="s">
        <v>3</v>
      </c>
    </row>
    <row r="13" spans="1:8" x14ac:dyDescent="0.3">
      <c r="A13" s="157">
        <v>2</v>
      </c>
      <c r="B13" s="157" t="s">
        <v>182</v>
      </c>
      <c r="C13" s="163" t="s">
        <v>151</v>
      </c>
      <c r="D13" s="158">
        <v>0.97499999999999998</v>
      </c>
      <c r="E13" s="164" t="s">
        <v>5</v>
      </c>
      <c r="F13" s="160">
        <v>3</v>
      </c>
      <c r="G13" s="161">
        <v>0.2</v>
      </c>
      <c r="H13" s="162" t="s">
        <v>6</v>
      </c>
    </row>
    <row r="14" spans="1:8" x14ac:dyDescent="0.3">
      <c r="A14" s="157">
        <v>3</v>
      </c>
      <c r="B14" s="157" t="s">
        <v>183</v>
      </c>
      <c r="C14" s="163" t="s">
        <v>152</v>
      </c>
      <c r="D14" s="158">
        <v>0.98799999999999999</v>
      </c>
      <c r="E14" s="164" t="s">
        <v>8</v>
      </c>
      <c r="F14" s="160">
        <v>5</v>
      </c>
      <c r="G14" s="161">
        <v>0.05</v>
      </c>
      <c r="H14" s="162" t="s">
        <v>9</v>
      </c>
    </row>
    <row r="15" spans="1:8" ht="16.5" thickBot="1" x14ac:dyDescent="0.35">
      <c r="A15" s="165">
        <v>4</v>
      </c>
      <c r="B15" s="165" t="s">
        <v>161</v>
      </c>
      <c r="C15" s="166" t="s">
        <v>153</v>
      </c>
      <c r="D15" s="167">
        <v>0.96499999999999997</v>
      </c>
      <c r="E15" s="168" t="s">
        <v>156</v>
      </c>
      <c r="F15" s="169">
        <v>1</v>
      </c>
      <c r="G15" s="170">
        <v>0.05</v>
      </c>
      <c r="H15" s="171" t="s">
        <v>11</v>
      </c>
    </row>
    <row r="20" spans="1:7" ht="16.5" thickBot="1" x14ac:dyDescent="0.35">
      <c r="B20" s="57"/>
      <c r="C20" s="59"/>
      <c r="D20" s="238" t="s">
        <v>13</v>
      </c>
      <c r="E20" s="238"/>
      <c r="F20" s="238"/>
      <c r="G20" s="58"/>
    </row>
    <row r="21" spans="1:7" ht="16.5" thickBot="1" x14ac:dyDescent="0.35">
      <c r="A21" s="191" t="s">
        <v>160</v>
      </c>
      <c r="B21" s="176"/>
      <c r="C21" s="150"/>
      <c r="D21" s="150"/>
      <c r="E21" s="150"/>
    </row>
    <row r="22" spans="1:7" x14ac:dyDescent="0.3">
      <c r="A22" s="172" t="s">
        <v>185</v>
      </c>
      <c r="B22" s="173"/>
    </row>
    <row r="23" spans="1:7" ht="16.5" thickBot="1" x14ac:dyDescent="0.35">
      <c r="A23" s="174" t="s">
        <v>186</v>
      </c>
      <c r="B23" s="175"/>
    </row>
  </sheetData>
  <sheetProtection algorithmName="SHA-512" hashValue="XCac92BOWMiSuPMwlT+FrCrTxAxQnf8Ve3UY7p4czjSimNhXAhUAT/h2A6IAsMS0Bh15BskR5nPLhAx0fishwA==" saltValue="b7WT9Lph0vZMx7n0ktNgEQ==" spinCount="100000" sheet="1" objects="1" scenarios="1"/>
  <mergeCells count="6">
    <mergeCell ref="C1:H1"/>
    <mergeCell ref="D20:F20"/>
    <mergeCell ref="C2:H2"/>
    <mergeCell ref="C3:H3"/>
    <mergeCell ref="C4:H4"/>
    <mergeCell ref="C5:H5"/>
  </mergeCells>
  <hyperlinks>
    <hyperlink ref="D20" location="'Stap 2 Punten ter voorbereiding'!A1" display="Gelezen? Ga door naar het volgende tabblad" xr:uid="{4D58A0B2-60F1-4B23-9DC6-5C99E791A61A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286E-76B9-41E0-A16D-34272EA9D4E9}">
  <sheetPr codeName="Blad2"/>
  <dimension ref="A1:E13"/>
  <sheetViews>
    <sheetView showGridLines="0" zoomScaleNormal="100" workbookViewId="0">
      <selection activeCell="B15" sqref="B15"/>
    </sheetView>
  </sheetViews>
  <sheetFormatPr defaultColWidth="8.33203125" defaultRowHeight="15.75" x14ac:dyDescent="0.3"/>
  <cols>
    <col min="1" max="1" width="42.88671875" style="64" customWidth="1"/>
    <col min="2" max="2" width="36.44140625" style="64" customWidth="1"/>
    <col min="3" max="3" width="35.6640625" style="65" customWidth="1"/>
    <col min="4" max="4" width="3" style="65" customWidth="1"/>
    <col min="5" max="5" width="54.44140625" style="64" customWidth="1"/>
    <col min="6" max="16384" width="8.33203125" style="64"/>
  </cols>
  <sheetData>
    <row r="1" spans="1:5" ht="16.5" thickBot="1" x14ac:dyDescent="0.35">
      <c r="A1" s="61" t="s">
        <v>14</v>
      </c>
      <c r="B1" s="62" t="s">
        <v>172</v>
      </c>
      <c r="C1" s="177" t="s">
        <v>173</v>
      </c>
      <c r="D1" s="183"/>
      <c r="E1" s="63" t="s">
        <v>15</v>
      </c>
    </row>
    <row r="2" spans="1:5" ht="91.15" customHeight="1" thickBot="1" x14ac:dyDescent="0.35">
      <c r="A2" s="185" t="s">
        <v>187</v>
      </c>
      <c r="B2" s="187" t="s">
        <v>166</v>
      </c>
      <c r="C2" s="188" t="s">
        <v>17</v>
      </c>
      <c r="D2" s="184"/>
      <c r="E2" s="178" t="s">
        <v>16</v>
      </c>
    </row>
    <row r="3" spans="1:5" ht="48" thickBot="1" x14ac:dyDescent="0.35">
      <c r="A3" s="185" t="s">
        <v>167</v>
      </c>
      <c r="B3" s="187" t="s">
        <v>164</v>
      </c>
      <c r="C3" s="188"/>
      <c r="D3" s="180"/>
    </row>
    <row r="4" spans="1:5" ht="30" customHeight="1" thickBot="1" x14ac:dyDescent="0.35">
      <c r="A4" s="61" t="s">
        <v>168</v>
      </c>
      <c r="B4" s="189" t="s">
        <v>170</v>
      </c>
      <c r="C4" s="186" t="s">
        <v>165</v>
      </c>
    </row>
    <row r="5" spans="1:5" ht="47.45" customHeight="1" thickBot="1" x14ac:dyDescent="0.35">
      <c r="A5" s="61" t="s">
        <v>169</v>
      </c>
      <c r="B5" s="187" t="s">
        <v>171</v>
      </c>
      <c r="C5" s="186" t="s">
        <v>19</v>
      </c>
    </row>
    <row r="6" spans="1:5" ht="47.45" customHeight="1" thickBot="1" x14ac:dyDescent="0.35">
      <c r="A6" s="61" t="s">
        <v>175</v>
      </c>
      <c r="B6" s="190" t="s">
        <v>174</v>
      </c>
      <c r="C6" s="186" t="s">
        <v>176</v>
      </c>
    </row>
    <row r="7" spans="1:5" ht="62.45" customHeight="1" thickBot="1" x14ac:dyDescent="0.35">
      <c r="A7" s="61" t="s">
        <v>178</v>
      </c>
      <c r="B7" s="190" t="s">
        <v>179</v>
      </c>
      <c r="C7" s="186" t="s">
        <v>180</v>
      </c>
    </row>
    <row r="8" spans="1:5" ht="16.5" thickBot="1" x14ac:dyDescent="0.35"/>
    <row r="9" spans="1:5" x14ac:dyDescent="0.3">
      <c r="A9" s="66"/>
      <c r="B9" s="67" t="s">
        <v>20</v>
      </c>
      <c r="C9" s="179"/>
      <c r="D9" s="181"/>
    </row>
    <row r="10" spans="1:5" x14ac:dyDescent="0.3">
      <c r="A10" s="228"/>
      <c r="B10" s="229"/>
      <c r="C10" s="230"/>
      <c r="D10" s="181"/>
    </row>
    <row r="11" spans="1:5" ht="15" customHeight="1" thickBot="1" x14ac:dyDescent="0.35">
      <c r="A11" s="248" t="s">
        <v>181</v>
      </c>
      <c r="B11" s="249"/>
      <c r="C11" s="250"/>
      <c r="D11" s="182"/>
    </row>
    <row r="13" spans="1:5" x14ac:dyDescent="0.3">
      <c r="A13" s="64" t="s">
        <v>200</v>
      </c>
    </row>
  </sheetData>
  <sheetProtection algorithmName="SHA-512" hashValue="xVJJlOnF4ApEAhl1tNnmjQvNz+kLG8mqSorT84+sB/ZTZ9geS38ZsKRa9KcyzeQUPpDixLjNb5YfzdR/wrMBMg==" saltValue="7OVZnHDvSbBs+u7x864r6A==" spinCount="100000" sheet="1" objects="1" scenarios="1"/>
  <mergeCells count="1">
    <mergeCell ref="A11:C11"/>
  </mergeCells>
  <hyperlinks>
    <hyperlink ref="C2" r:id="rId1" location="72195860" display="Zie voor meer info tabel hier in de TopicStart" xr:uid="{61373BD2-5B38-4C76-89BF-CF5AE38CA690}"/>
    <hyperlink ref="B9" r:id="rId2" xr:uid="{B46BED6D-1C66-4797-8D60-62977BEA9D04}"/>
    <hyperlink ref="A11:C11" location="'Stap 3 Offerte Serie icm GoodWe'!A1" display="Verplichte :-) video bekeken? Ga dan door naar stap 3 en maak je eigen offerte!" xr:uid="{89EC3B93-CAD0-4932-B605-1E0E563656B3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P34"/>
  <sheetViews>
    <sheetView showGridLines="0" zoomScale="80" zoomScaleNormal="80" workbookViewId="0">
      <selection activeCell="D16" sqref="D16"/>
    </sheetView>
  </sheetViews>
  <sheetFormatPr defaultColWidth="8.33203125" defaultRowHeight="26.1" customHeight="1" x14ac:dyDescent="0.3"/>
  <cols>
    <col min="1" max="1" width="2" customWidth="1"/>
    <col min="2" max="2" width="14.44140625" customWidth="1"/>
    <col min="3" max="3" width="35.109375" customWidth="1"/>
    <col min="4" max="4" width="48.21875" customWidth="1"/>
    <col min="5" max="5" width="20.33203125" customWidth="1"/>
    <col min="6" max="6" width="20.6640625" customWidth="1"/>
    <col min="7" max="7" width="13.109375" customWidth="1"/>
    <col min="8" max="8" width="8.33203125" customWidth="1"/>
    <col min="9" max="9" width="18.21875" customWidth="1"/>
    <col min="10" max="10" width="4" customWidth="1"/>
    <col min="11" max="11" width="14.88671875" bestFit="1" customWidth="1"/>
    <col min="12" max="12" width="2.44140625" customWidth="1"/>
    <col min="13" max="13" width="14.88671875" bestFit="1" customWidth="1"/>
    <col min="14" max="14" width="2" customWidth="1"/>
    <col min="15" max="15" width="15.109375" bestFit="1" customWidth="1"/>
  </cols>
  <sheetData>
    <row r="1" spans="2:15" ht="55.5" customHeight="1" x14ac:dyDescent="0.3">
      <c r="G1" t="s">
        <v>21</v>
      </c>
      <c r="I1" s="14" t="s">
        <v>22</v>
      </c>
    </row>
    <row r="2" spans="2:15" ht="26.45" customHeight="1" x14ac:dyDescent="0.3">
      <c r="B2" s="15"/>
      <c r="C2" s="15"/>
      <c r="D2" s="15"/>
      <c r="E2" s="256" t="s">
        <v>189</v>
      </c>
      <c r="F2" s="256"/>
      <c r="G2" s="256"/>
      <c r="I2" s="16" t="s">
        <v>23</v>
      </c>
    </row>
    <row r="3" spans="2:15" ht="27" customHeight="1" x14ac:dyDescent="0.3">
      <c r="B3" s="15"/>
      <c r="C3" s="15"/>
      <c r="E3" s="15"/>
      <c r="F3" s="15"/>
      <c r="I3" s="17" t="s">
        <v>24</v>
      </c>
    </row>
    <row r="4" spans="2:15" s="18" customFormat="1" ht="27" customHeight="1" thickBot="1" x14ac:dyDescent="0.35">
      <c r="B4" s="18" t="s">
        <v>25</v>
      </c>
      <c r="C4" s="19" t="s">
        <v>26</v>
      </c>
      <c r="D4" s="18" t="s">
        <v>27</v>
      </c>
      <c r="E4" s="216" t="s">
        <v>28</v>
      </c>
      <c r="F4" s="18" t="s">
        <v>29</v>
      </c>
      <c r="G4" s="18" t="s">
        <v>30</v>
      </c>
      <c r="I4" s="20" t="s">
        <v>31</v>
      </c>
    </row>
    <row r="5" spans="2:15" s="24" customFormat="1" ht="26.1" customHeight="1" thickBot="1" x14ac:dyDescent="0.35">
      <c r="B5" s="3">
        <v>10</v>
      </c>
      <c r="C5" s="4" t="s">
        <v>204</v>
      </c>
      <c r="D5" s="68" t="str">
        <f>VLOOKUP(SaleItems_Table[[#This Row],[Omschrijving]],Prijsbronlijst!A:C,2,0)</f>
        <v>TW 400-420MAP 25jaar garantie</v>
      </c>
      <c r="E5" s="217">
        <f>VLOOKUP(SaleItems_Table[[#This Row],[Omschrijving]],Prijsbronlijst!A:F,4,0)</f>
        <v>420</v>
      </c>
      <c r="F5" s="22">
        <f>VLOOKUP(SaleItems_Table[[#This Row],[Omschrijving]],Prijsbronlijst!A:C,3,0)</f>
        <v>95</v>
      </c>
      <c r="G5" s="23">
        <f>SaleItems_Table[[#This Row],[Prijs per eenheid]]*SaleItems_Table[[#This Row],[Aantal]]</f>
        <v>950</v>
      </c>
      <c r="I5" s="25" t="s">
        <v>32</v>
      </c>
    </row>
    <row r="6" spans="2:15" s="24" customFormat="1" ht="18.75" customHeight="1" thickBot="1" x14ac:dyDescent="0.35">
      <c r="B6" s="26"/>
      <c r="C6" s="21"/>
      <c r="D6" s="18"/>
      <c r="E6" s="18"/>
      <c r="F6" s="27"/>
      <c r="G6" s="28"/>
    </row>
    <row r="7" spans="2:15" s="24" customFormat="1" ht="26.1" customHeight="1" thickBot="1" x14ac:dyDescent="0.35">
      <c r="B7" s="5">
        <f>B5-B8</f>
        <v>10</v>
      </c>
      <c r="C7" s="21" t="s">
        <v>33</v>
      </c>
      <c r="D7" s="21" t="str">
        <f>VLOOKUP(SaleItems_Table[[#This Row],[Omschrijving]],Prijsbronlijst!A:C,2,0)</f>
        <v> Montage materiaal Solarstell (20 jaar fabrieksgarantie)</v>
      </c>
      <c r="E7" s="21"/>
      <c r="F7" s="22">
        <f>VLOOKUP(SaleItems_Table[[#This Row],[Omschrijving]],Prijsbronlijst!A:C,3,0)</f>
        <v>50</v>
      </c>
      <c r="G7" s="23">
        <f>SaleItems_Table[[#This Row],[Prijs per eenheid]]*SaleItems_Table[[#This Row],[Aantal]]</f>
        <v>500</v>
      </c>
    </row>
    <row r="8" spans="2:15" s="24" customFormat="1" ht="26.1" customHeight="1" thickBot="1" x14ac:dyDescent="0.35">
      <c r="B8" s="6">
        <v>0</v>
      </c>
      <c r="C8" s="29" t="s">
        <v>18</v>
      </c>
      <c r="D8" s="30" t="str">
        <f>VLOOKUP(SaleItems_Table[[#This Row],[Omschrijving]],Prijsbronlijst!A:C,2,0)</f>
        <v>Montage materiaal Solarstell incl. ballast (20 jaar fabrieksgarantie)</v>
      </c>
      <c r="E8" s="29"/>
      <c r="F8" s="31">
        <f>VLOOKUP(SaleItems_Table[[#This Row],[Omschrijving]],Prijsbronlijst!A:C,3,0)</f>
        <v>70</v>
      </c>
      <c r="G8" s="32">
        <f>SaleItems_Table[[#This Row],[Prijs per eenheid]]*SaleItems_Table[[#This Row],[Aantal]]</f>
        <v>0</v>
      </c>
    </row>
    <row r="9" spans="2:15" s="24" customFormat="1" ht="18.600000000000001" customHeight="1" thickBot="1" x14ac:dyDescent="0.35">
      <c r="B9" s="26"/>
      <c r="C9" s="18"/>
      <c r="D9" s="18"/>
      <c r="E9" s="33"/>
      <c r="F9" s="27"/>
      <c r="G9" s="28"/>
      <c r="I9" s="116" t="str" cm="1">
        <f t="array" ref="I9:I11">'Potentiele winst icm serie'!H2:H4</f>
        <v>Terugverdientijd</v>
      </c>
      <c r="J9" s="117"/>
      <c r="K9" s="116" t="str" cm="1">
        <f t="array" ref="K9:K11">'Potentiele winst icm serie'!D2:D4</f>
        <v>Opbrengs</v>
      </c>
      <c r="L9" s="117"/>
      <c r="M9" s="116" t="str" cm="1">
        <f t="array" ref="M9:M11">'Potentiele winst icm serie'!F2:F4</f>
        <v>Rendement</v>
      </c>
      <c r="N9" s="117"/>
      <c r="O9" s="116" t="str" cm="1">
        <f t="array" ref="O9:O11">'Potentiele winst icm serie'!G2:G4</f>
        <v xml:space="preserve">Rendement </v>
      </c>
    </row>
    <row r="10" spans="2:15" s="24" customFormat="1" ht="26.1" customHeight="1" thickBot="1" x14ac:dyDescent="0.35">
      <c r="B10" s="7">
        <f>B5</f>
        <v>10</v>
      </c>
      <c r="C10" s="34" t="str">
        <f>VLOOKUP(SaleItems_Table[[#This Row],[Aantal]],Prijsbronlijst!A:C,2)</f>
        <v>Montage 10 zonnepanelen</v>
      </c>
      <c r="D10" s="21" t="s">
        <v>34</v>
      </c>
      <c r="E10" s="21"/>
      <c r="F10" s="22"/>
      <c r="G10" s="22">
        <f>VLOOKUP(SaleItems_Table[[#This Row],[Aantal]],Prijsbronlijst!A:C,3,0)</f>
        <v>1195.83</v>
      </c>
      <c r="I10" s="118" t="str">
        <v>in jaren</v>
      </c>
      <c r="J10" s="117"/>
      <c r="K10" s="118" t="str">
        <v>€ gem per jaar</v>
      </c>
      <c r="L10" s="117"/>
      <c r="M10" s="118" t="str">
        <v>€ gem per jaar</v>
      </c>
      <c r="N10" s="117"/>
      <c r="O10" s="118" t="str">
        <v>% gem per jaar</v>
      </c>
    </row>
    <row r="11" spans="2:15" s="24" customFormat="1" ht="26.1" customHeight="1" thickBot="1" x14ac:dyDescent="0.35">
      <c r="B11" s="8" t="s">
        <v>35</v>
      </c>
      <c r="C11" s="29" t="s">
        <v>147</v>
      </c>
      <c r="D11" s="29" t="s">
        <v>36</v>
      </c>
      <c r="E11" s="35">
        <f>VLOOKUP(SaleItems_Table[[#This Row],[Aantal]],Prijsbronlijst!A:F,4,0)</f>
        <v>1.2</v>
      </c>
      <c r="F11" s="35">
        <f>VLOOKUP(SaleItems_Table[[#This Row],[Aantal]],Prijsbronlijst!A:F,5,0)</f>
        <v>0.92</v>
      </c>
      <c r="G11" s="32"/>
      <c r="H11" s="38"/>
      <c r="I11" s="119">
        <v>3.0812498382859821</v>
      </c>
      <c r="J11" s="117"/>
      <c r="K11" s="120">
        <v>1113.4540138129403</v>
      </c>
      <c r="L11" s="117"/>
      <c r="M11" s="120">
        <v>941.91251381294023</v>
      </c>
      <c r="N11" s="117"/>
      <c r="O11" s="121">
        <v>0.27454362758077205</v>
      </c>
    </row>
    <row r="12" spans="2:15" s="24" customFormat="1" ht="19.149999999999999" customHeight="1" thickBot="1" x14ac:dyDescent="0.35">
      <c r="B12" s="36"/>
      <c r="C12" s="18"/>
      <c r="D12" s="18"/>
      <c r="E12" s="33"/>
      <c r="F12" s="27"/>
      <c r="G12" s="28"/>
    </row>
    <row r="13" spans="2:15" s="38" customFormat="1" ht="30.6" customHeight="1" thickBot="1" x14ac:dyDescent="0.35">
      <c r="B13" s="141" t="s">
        <v>37</v>
      </c>
      <c r="C13" s="142">
        <f>C14/E11</f>
        <v>3500</v>
      </c>
      <c r="D13" s="147" t="s">
        <v>38</v>
      </c>
      <c r="E13" s="148">
        <f>C14*F11</f>
        <v>3864</v>
      </c>
      <c r="F13" s="27"/>
      <c r="G13" s="37"/>
      <c r="H13" s="24"/>
      <c r="I13" s="252" t="s">
        <v>148</v>
      </c>
      <c r="J13" s="253"/>
      <c r="K13" s="253"/>
      <c r="L13" s="253"/>
      <c r="M13" s="253"/>
      <c r="N13" s="124"/>
      <c r="O13" s="123">
        <f>SaleItems_Table[[#This Row],[Kolom1]]</f>
        <v>3864</v>
      </c>
    </row>
    <row r="14" spans="2:15" s="24" customFormat="1" ht="30.6" customHeight="1" thickBot="1" x14ac:dyDescent="0.35">
      <c r="B14" s="143" t="s">
        <v>39</v>
      </c>
      <c r="C14" s="144">
        <f>E5*B5</f>
        <v>4200</v>
      </c>
      <c r="D14" s="147" t="s">
        <v>40</v>
      </c>
      <c r="E14" s="149">
        <f>G25/SaleItems_Table[[#This Row],[Omschrijving]]</f>
        <v>0.81686428571428571</v>
      </c>
      <c r="F14" s="145"/>
      <c r="G14" s="146"/>
      <c r="I14" s="254" t="s">
        <v>41</v>
      </c>
      <c r="J14" s="255"/>
      <c r="K14" s="255"/>
      <c r="L14" s="255"/>
      <c r="M14" s="255"/>
      <c r="N14" s="125"/>
      <c r="O14" s="122">
        <f>SaleItems_Table[[#This Row],[Kolom1]]</f>
        <v>0.81686428571428571</v>
      </c>
    </row>
    <row r="15" spans="2:15" s="24" customFormat="1" ht="18.600000000000001" customHeight="1" thickBot="1" x14ac:dyDescent="0.35">
      <c r="B15" s="26"/>
      <c r="C15" s="18"/>
      <c r="D15" s="33"/>
      <c r="E15" s="18"/>
      <c r="F15" s="27"/>
      <c r="G15" s="28"/>
      <c r="I15"/>
      <c r="J15"/>
      <c r="K15"/>
      <c r="L15"/>
      <c r="M15"/>
      <c r="N15"/>
      <c r="O15"/>
    </row>
    <row r="16" spans="2:15" s="24" customFormat="1" ht="95.25" thickBot="1" x14ac:dyDescent="0.35">
      <c r="B16" s="9">
        <v>0</v>
      </c>
      <c r="C16" s="39" t="s">
        <v>42</v>
      </c>
      <c r="D16" s="40" t="str">
        <f>VLOOKUP(SaleItems_Table[[#This Row],[Omschrijving]],Prijsbronlijst!A:C,2,0)</f>
        <v>Tigo TS4-A-O optimalisatie MC4 | max 700 Wp</v>
      </c>
      <c r="E16" s="39"/>
      <c r="F16" s="41">
        <f>VLOOKUP(SaleItems_Table[[#This Row],[Omschrijving]],Prijsbronlijst!A:C,3,0)</f>
        <v>60</v>
      </c>
      <c r="G16" s="42">
        <f>SaleItems_Table[[#This Row],[Prijs per eenheid]]*SaleItems_Table[[#This Row],[Aantal]]</f>
        <v>0</v>
      </c>
      <c r="I16" s="52"/>
      <c r="J16" s="52"/>
      <c r="K16" s="52"/>
      <c r="L16" s="52"/>
      <c r="M16" s="52"/>
      <c r="N16" s="52"/>
      <c r="O16" s="52"/>
    </row>
    <row r="17" spans="2:16" s="24" customFormat="1" ht="19.149999999999999" customHeight="1" thickBot="1" x14ac:dyDescent="0.35">
      <c r="B17" s="36"/>
      <c r="C17" s="18"/>
      <c r="D17" s="33"/>
      <c r="E17" s="33"/>
      <c r="F17" s="27"/>
      <c r="G17" s="28"/>
      <c r="I17" s="52"/>
      <c r="J17" s="52"/>
      <c r="K17" s="52"/>
      <c r="L17" s="52"/>
      <c r="M17" s="52"/>
      <c r="N17" s="52"/>
      <c r="O17" s="52"/>
    </row>
    <row r="18" spans="2:16" s="24" customFormat="1" ht="16.5" thickBot="1" x14ac:dyDescent="0.35">
      <c r="B18" s="26"/>
      <c r="C18" s="18"/>
      <c r="D18" s="43"/>
      <c r="E18" s="44" t="s">
        <v>43</v>
      </c>
      <c r="F18" s="45" t="s">
        <v>44</v>
      </c>
      <c r="G18" s="28"/>
      <c r="H18" s="51"/>
      <c r="I18" s="52"/>
      <c r="J18" s="52"/>
      <c r="K18" s="52"/>
      <c r="L18" s="52"/>
      <c r="M18" s="52"/>
      <c r="N18" s="52"/>
      <c r="O18" s="52"/>
    </row>
    <row r="19" spans="2:16" s="24" customFormat="1" ht="32.25" thickBot="1" x14ac:dyDescent="0.35">
      <c r="B19" s="10" t="s">
        <v>45</v>
      </c>
      <c r="C19" s="46" t="s">
        <v>177</v>
      </c>
      <c r="D19" s="47" t="str">
        <f>VLOOKUP(SaleItems_Table[[#This Row],[Aantal]],Prijsbronlijst!A:C,2,0)</f>
        <v>Max 1 Fase 4200W of 3 Fase 12000W omvormer</v>
      </c>
      <c r="E19" s="12">
        <f>VLOOKUP(SaleItems_Table[[#This Row],[Aantal]],Prijsbronlijst!A:F,4,0)</f>
        <v>4200</v>
      </c>
      <c r="F19" s="13">
        <f>VLOOKUP(SaleItems_Table[[#This Row],[Aantal]],Prijsbronlijst!A:F,5,0)</f>
        <v>12000</v>
      </c>
      <c r="G19" s="42"/>
      <c r="I19" s="52"/>
      <c r="J19" s="52"/>
      <c r="K19" s="52"/>
      <c r="L19" s="52"/>
      <c r="M19" s="52"/>
      <c r="N19" s="52"/>
      <c r="O19" s="52"/>
      <c r="P19" s="48"/>
    </row>
    <row r="20" spans="2:16" s="24" customFormat="1" ht="32.450000000000003" customHeight="1" thickBot="1" x14ac:dyDescent="0.35">
      <c r="B20" s="11" t="s">
        <v>46</v>
      </c>
      <c r="C20" s="4" t="s">
        <v>47</v>
      </c>
      <c r="D20" s="192" t="str">
        <f>VLOOKUP(SaleItems_Table[[#This Row],[Omschrijving]],Prijsbronlijst!A:C,2,0)</f>
        <v>1 Fase omvormer 2MPPT</v>
      </c>
      <c r="E20" s="49">
        <f>VLOOKUP(SaleItems_Table[[#This Row],[Omschrijving]],Prijsbronlijst!A:F,4,0)</f>
        <v>3600</v>
      </c>
      <c r="F20" s="50">
        <f>VLOOKUP(SaleItems_Table[[#This Row],[Omschrijving]],Prijsbronlijst!A:F,5,0)</f>
        <v>0</v>
      </c>
      <c r="G20" s="32">
        <f>VLOOKUP(SaleItems_Table[[#This Row],[Omschrijving]],Prijsbronlijst!A:C,3,0)</f>
        <v>785</v>
      </c>
      <c r="I20" s="52"/>
      <c r="J20" s="52"/>
      <c r="K20" s="52"/>
      <c r="L20" s="52"/>
      <c r="M20" s="52"/>
      <c r="N20" s="52"/>
      <c r="O20" s="52"/>
      <c r="P20" s="48"/>
    </row>
    <row r="21" spans="2:16" s="24" customFormat="1" ht="35.450000000000003" customHeight="1" thickBot="1" x14ac:dyDescent="0.35">
      <c r="B21" s="11" t="s">
        <v>188</v>
      </c>
      <c r="C21" s="4" t="s">
        <v>48</v>
      </c>
      <c r="D21" s="193" t="str">
        <f>VLOOKUP(SaleItems_Table[[#This Row],[Omschrijving]],Prijsbronlijst!A:C,2,0)</f>
        <v>NVT</v>
      </c>
      <c r="E21" s="49">
        <f>VLOOKUP(SaleItems_Table[[#This Row],[Omschrijving]],Prijsbronlijst!A:F,4,0)</f>
        <v>0</v>
      </c>
      <c r="F21" s="50">
        <f>VLOOKUP(SaleItems_Table[[#This Row],[Omschrijving]],Prijsbronlijst!A:F,5,0)</f>
        <v>0</v>
      </c>
      <c r="G21" s="32">
        <f>VLOOKUP(SaleItems_Table[[#This Row],[Omschrijving]],Prijsbronlijst!A:C,3,0)</f>
        <v>0</v>
      </c>
      <c r="I21" s="52"/>
      <c r="J21" s="52"/>
      <c r="K21" s="52"/>
      <c r="L21" s="52"/>
      <c r="M21" s="52"/>
      <c r="N21" s="52"/>
      <c r="O21" s="52"/>
      <c r="P21" s="48"/>
    </row>
    <row r="22" spans="2:16" s="24" customFormat="1" ht="19.149999999999999" customHeight="1" x14ac:dyDescent="0.3">
      <c r="B22" s="26"/>
      <c r="C22" s="18"/>
      <c r="D22" s="33"/>
      <c r="E22" s="18"/>
      <c r="F22" s="27"/>
      <c r="G22" s="28"/>
      <c r="H22"/>
      <c r="I22" s="52"/>
      <c r="J22" s="52"/>
      <c r="K22" s="52"/>
      <c r="L22" s="52"/>
      <c r="M22" s="52"/>
      <c r="N22" s="52"/>
      <c r="O22" s="52"/>
      <c r="P22" s="48"/>
    </row>
    <row r="23" spans="2:16" s="24" customFormat="1" ht="26.1" customHeight="1" x14ac:dyDescent="0.3">
      <c r="B23" s="26"/>
      <c r="C23" s="18"/>
      <c r="D23" s="33"/>
      <c r="E23" s="18"/>
      <c r="F23" s="27"/>
      <c r="G23" s="27"/>
      <c r="H23" s="52"/>
      <c r="I23"/>
      <c r="J23"/>
      <c r="K23"/>
      <c r="L23"/>
      <c r="M23"/>
      <c r="N23"/>
      <c r="O23"/>
    </row>
    <row r="24" spans="2:16" ht="20.25" customHeight="1" x14ac:dyDescent="0.3">
      <c r="B24" s="26"/>
      <c r="C24" s="18"/>
      <c r="D24" s="33"/>
    </row>
    <row r="25" spans="2:16" s="52" customFormat="1" ht="26.1" customHeight="1" x14ac:dyDescent="0.3">
      <c r="B25" s="259" t="s">
        <v>49</v>
      </c>
      <c r="C25" s="259"/>
      <c r="D25" s="259"/>
      <c r="E25" s="257" t="s">
        <v>50</v>
      </c>
      <c r="F25" s="257"/>
      <c r="G25" s="53">
        <f>SUM(SaleItems_Table[Bedrag])</f>
        <v>3430.83</v>
      </c>
      <c r="I25"/>
      <c r="J25"/>
      <c r="K25"/>
      <c r="L25"/>
      <c r="M25"/>
      <c r="N25"/>
      <c r="O25"/>
    </row>
    <row r="26" spans="2:16" ht="26.1" customHeight="1" x14ac:dyDescent="0.3">
      <c r="B26" s="258" t="s">
        <v>51</v>
      </c>
      <c r="C26" s="258"/>
      <c r="D26" s="258"/>
      <c r="H26" s="52"/>
    </row>
    <row r="27" spans="2:16" s="52" customFormat="1" ht="45" customHeight="1" x14ac:dyDescent="0.3">
      <c r="B27" s="251" t="s">
        <v>190</v>
      </c>
      <c r="C27" s="251"/>
      <c r="D27" s="251"/>
      <c r="E27" s="251"/>
      <c r="F27" s="251"/>
      <c r="G27" s="251"/>
    </row>
    <row r="28" spans="2:16" s="52" customFormat="1" ht="26.1" customHeight="1" x14ac:dyDescent="0.3">
      <c r="B28" s="194"/>
      <c r="C28" s="194"/>
      <c r="D28" s="194"/>
      <c r="I28"/>
      <c r="J28"/>
      <c r="K28"/>
      <c r="L28"/>
      <c r="M28"/>
      <c r="N28"/>
      <c r="O28"/>
    </row>
    <row r="29" spans="2:16" s="52" customFormat="1" ht="31.5" customHeight="1" x14ac:dyDescent="0.3">
      <c r="B29" s="54"/>
      <c r="C29" s="55"/>
      <c r="D29" s="55"/>
      <c r="I29"/>
      <c r="J29"/>
      <c r="K29"/>
      <c r="L29"/>
      <c r="M29"/>
      <c r="N29"/>
      <c r="O29"/>
    </row>
    <row r="30" spans="2:16" s="52" customFormat="1" ht="26.1" customHeight="1" x14ac:dyDescent="0.3">
      <c r="B30" s="56"/>
      <c r="E30"/>
      <c r="F30"/>
      <c r="I30"/>
      <c r="J30"/>
      <c r="K30"/>
      <c r="L30"/>
      <c r="M30"/>
      <c r="N30"/>
      <c r="O30"/>
    </row>
    <row r="31" spans="2:16" s="52" customFormat="1" ht="26.1" customHeight="1" x14ac:dyDescent="0.3">
      <c r="E31"/>
      <c r="F31"/>
      <c r="H31"/>
      <c r="I31"/>
      <c r="J31"/>
      <c r="K31"/>
      <c r="L31"/>
      <c r="M31"/>
      <c r="N31"/>
      <c r="O31"/>
    </row>
    <row r="32" spans="2:16" s="52" customFormat="1" ht="26.1" customHeight="1" x14ac:dyDescent="0.3">
      <c r="E32"/>
      <c r="F32"/>
      <c r="H32"/>
      <c r="I32"/>
      <c r="J32"/>
      <c r="K32"/>
      <c r="L32"/>
      <c r="M32"/>
      <c r="N32"/>
      <c r="O32"/>
    </row>
    <row r="33" spans="2:15" s="52" customFormat="1" ht="26.1" customHeight="1" x14ac:dyDescent="0.3">
      <c r="E33"/>
      <c r="F33"/>
      <c r="G33"/>
      <c r="H33"/>
      <c r="I33"/>
      <c r="J33"/>
      <c r="K33"/>
      <c r="L33"/>
      <c r="M33"/>
      <c r="N33"/>
      <c r="O33"/>
    </row>
    <row r="34" spans="2:15" ht="26.1" customHeight="1" x14ac:dyDescent="0.3">
      <c r="B34" s="52"/>
      <c r="C34" s="52"/>
      <c r="D34" s="52"/>
    </row>
  </sheetData>
  <sheetProtection algorithmName="SHA-512" hashValue="qQEx7GEUzDZfO8Da4k7uDUrIwpfk2wbwbWHizFGPtcilc7IkmwwWMAe41iTo7yiRg3kfI7vMLLRPePWv9weLRg==" saltValue="mC1S7ECoMJypeBLERm5INg==" spinCount="100000" sheet="1" objects="1" scenarios="1"/>
  <dataConsolidate/>
  <mergeCells count="7">
    <mergeCell ref="B27:G27"/>
    <mergeCell ref="I13:M13"/>
    <mergeCell ref="I14:M14"/>
    <mergeCell ref="E2:G2"/>
    <mergeCell ref="E25:F25"/>
    <mergeCell ref="B26:D26"/>
    <mergeCell ref="B25:D25"/>
  </mergeCells>
  <conditionalFormatting sqref="B7">
    <cfRule type="cellIs" dxfId="11" priority="9" operator="lessThan">
      <formula>0</formula>
    </cfRule>
  </conditionalFormatting>
  <conditionalFormatting sqref="C13">
    <cfRule type="cellIs" dxfId="10" priority="7" operator="lessThan">
      <formula>$E$20+$F$20+$E$21+$F$21</formula>
    </cfRule>
    <cfRule type="cellIs" dxfId="9" priority="8" operator="greaterThan">
      <formula>$E$20+$F$20+$E$21+$F$21</formula>
    </cfRule>
  </conditionalFormatting>
  <conditionalFormatting sqref="E20:E21">
    <cfRule type="cellIs" dxfId="8" priority="3" operator="lessThanOrEqual">
      <formula>$E$19</formula>
    </cfRule>
    <cfRule type="cellIs" dxfId="7" priority="5" operator="greaterThan">
      <formula>$E$19</formula>
    </cfRule>
  </conditionalFormatting>
  <conditionalFormatting sqref="F20:F21">
    <cfRule type="cellIs" dxfId="6" priority="1" operator="lessThanOrEqual">
      <formula>$F$19</formula>
    </cfRule>
    <cfRule type="cellIs" dxfId="5" priority="4" operator="greaterThan">
      <formula>$F$19</formula>
    </cfRule>
  </conditionalFormatting>
  <dataValidations count="6">
    <dataValidation allowBlank="1" showInputMessage="1" showErrorMessage="1" prompt="Voer in deze kolom een hoeveelheid in" sqref="B4" xr:uid="{00000000-0002-0000-0000-000015000000}"/>
    <dataValidation allowBlank="1" showInputMessage="1" showErrorMessage="1" prompt="Het bedrag wordt automatisch berekend in deze kolom onder deze kop en het subtotaal wordt automatisch berekend aan het einde van de tabel" sqref="G4" xr:uid="{00000000-0002-0000-0000-000017000000}"/>
    <dataValidation allowBlank="1" showInputMessage="1" showErrorMessage="1" prompt="Het totaal verschuldigde bedrag wordt automatisch berekend in de cel rechts" sqref="E25" xr:uid="{00000000-0002-0000-0000-00001C000000}"/>
    <dataValidation allowBlank="1" showInputMessage="1" showErrorMessage="1" prompt="Het totaal verschuldigde bedrag wordt automatisch berekend in deze cel" sqref="G25" xr:uid="{00000000-0002-0000-0000-000021000000}"/>
    <dataValidation allowBlank="1" showInputMessage="1" showErrorMessage="1" prompt="Voer in deze kolom een beschrijving in" sqref="C4:E4" xr:uid="{00000000-0002-0000-0000-000014000000}"/>
    <dataValidation allowBlank="1" showInputMessage="1" showErrorMessage="1" prompt="Voer in deze kolom de eenheidsprijs in" sqref="E4:F4" xr:uid="{00000000-0002-0000-0000-000018000000}"/>
  </dataValidations>
  <hyperlinks>
    <hyperlink ref="B26" r:id="rId1" xr:uid="{66458157-9ACD-4F81-9D64-30C0E2EDCCD5}"/>
    <hyperlink ref="I9:O11" location="'Stap 3 zie je potentiele winst'!A1" display="'Stap 3 zie je potentiele winst'!A1" xr:uid="{A1EFAA90-4A13-4BF8-BB07-BB57BE488721}"/>
    <hyperlink ref="D5" r:id="rId2" display="https://1drv.ms/f/s!AnNONMKqtNr7i4Q5HZyPwnDTEKLVFg?e=fLxNJy" xr:uid="{20BA5EB3-09FC-40A1-9AC9-73DB8CE1E159}"/>
    <hyperlink ref="D20" r:id="rId3" display="https://1drv.ms/u/s!AnNONMKqtNr7ipw5wqjuvLLhCdGJTQ?e=Rfsk8f" xr:uid="{9422444B-DC6A-4C33-AFD9-7DB0A0716F4F}"/>
    <hyperlink ref="D21" r:id="rId4" display="https://1drv.ms/u/s!AnNONMKqtNr7ipw5wqjuvLLhCdGJTQ?e=Rfsk8f" xr:uid="{4F353FD1-FDDA-4D31-A8C1-D367070C2AC9}"/>
    <hyperlink ref="B27:D28" r:id="rId5" display="https://e-duurzaam.nl/aanvraag-zonnepanelen-via-offertetool/" xr:uid="{6ABD54E0-3DC5-4B38-924F-817DB7BDD6CB}"/>
    <hyperlink ref="E2" r:id="rId6" xr:uid="{9A541847-B93B-4EA7-867A-9D2590467FB0}"/>
  </hyperlinks>
  <printOptions horizontalCentered="1"/>
  <pageMargins left="0.25" right="0.25" top="0.25" bottom="0.75" header="0.3" footer="0.3"/>
  <pageSetup paperSize="9" scale="53" orientation="landscape" r:id="rId7"/>
  <ignoredErrors>
    <ignoredError sqref="E11 E13:E14" calculatedColumn="1"/>
  </ignoredErrors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F7D642B-616F-4E42-8B40-D1A5FDE456A4}">
          <x14:formula1>
            <xm:f>Prijsbronlijst!$A$20:$A$58</xm:f>
          </x14:formula1>
          <xm:sqref>B5</xm:sqref>
        </x14:dataValidation>
        <x14:dataValidation type="list" allowBlank="1" showInputMessage="1" showErrorMessage="1" xr:uid="{764B27DB-515D-42DF-BFDE-9F603BB0B0F5}">
          <x14:formula1>
            <xm:f>Prijsbronlijst!$A$18:$A$58</xm:f>
          </x14:formula1>
          <xm:sqref>B16:B18 B8</xm:sqref>
        </x14:dataValidation>
        <x14:dataValidation type="list" allowBlank="1" showInputMessage="1" showErrorMessage="1" xr:uid="{E2E3F115-94B8-4E56-8D6B-6E38CBBD775A}">
          <x14:formula1>
            <xm:f>Prijsbronlijst!$A$4:$A$6</xm:f>
          </x14:formula1>
          <xm:sqref>B19</xm:sqref>
        </x14:dataValidation>
        <x14:dataValidation type="list" allowBlank="1" showInputMessage="1" showErrorMessage="1" xr:uid="{F9A39EDE-A2CB-42DF-839C-B7B716838F6C}">
          <x14:formula1>
            <xm:f>Prijsbronlijst!$A$85:$A$86</xm:f>
          </x14:formula1>
          <xm:sqref>B11:B12</xm:sqref>
        </x14:dataValidation>
        <x14:dataValidation type="list" allowBlank="1" showInputMessage="1" showErrorMessage="1" xr:uid="{19B7FE3E-2076-41DC-A7D6-38636B4F3236}">
          <x14:formula1>
            <xm:f>Prijsbronlijst!$A$66:$A$81</xm:f>
          </x14:formula1>
          <xm:sqref>C20</xm:sqref>
        </x14:dataValidation>
        <x14:dataValidation type="list" allowBlank="1" showInputMessage="1" showErrorMessage="1" xr:uid="{7B5ED8D0-6F5C-44EF-B839-E7675B0740DF}">
          <x14:formula1>
            <xm:f>Prijsbronlijst!$A$65:$A$81</xm:f>
          </x14:formula1>
          <xm:sqref>C21</xm:sqref>
        </x14:dataValidation>
        <x14:dataValidation type="list" allowBlank="1" showInputMessage="1" showErrorMessage="1" xr:uid="{6E37BC0B-4A47-4A1F-ADD4-DD42A187087F}">
          <x14:formula1>
            <xm:f>Prijsbronlijst!$A$9:$A$12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7C8B-837E-4920-AF11-6798E1121174}">
  <sheetPr>
    <pageSetUpPr fitToPage="1"/>
  </sheetPr>
  <dimension ref="B1:P35"/>
  <sheetViews>
    <sheetView showGridLines="0" zoomScale="80" zoomScaleNormal="80" workbookViewId="0">
      <selection activeCell="C21" sqref="C21"/>
    </sheetView>
  </sheetViews>
  <sheetFormatPr defaultColWidth="8.33203125" defaultRowHeight="26.1" customHeight="1" x14ac:dyDescent="0.3"/>
  <cols>
    <col min="1" max="1" width="2" customWidth="1"/>
    <col min="2" max="2" width="14.44140625" customWidth="1"/>
    <col min="3" max="3" width="35.109375" customWidth="1"/>
    <col min="4" max="4" width="48.21875" customWidth="1"/>
    <col min="5" max="5" width="20.33203125" customWidth="1"/>
    <col min="6" max="6" width="20.6640625" customWidth="1"/>
    <col min="7" max="7" width="14.109375" customWidth="1"/>
    <col min="8" max="8" width="8.33203125" customWidth="1"/>
    <col min="9" max="9" width="18.21875" customWidth="1"/>
    <col min="10" max="10" width="4" customWidth="1"/>
    <col min="11" max="11" width="14.88671875" bestFit="1" customWidth="1"/>
    <col min="12" max="12" width="2.44140625" customWidth="1"/>
    <col min="13" max="13" width="14.88671875" bestFit="1" customWidth="1"/>
    <col min="14" max="14" width="2" customWidth="1"/>
    <col min="15" max="15" width="15.109375" bestFit="1" customWidth="1"/>
  </cols>
  <sheetData>
    <row r="1" spans="2:15" ht="60.75" customHeight="1" x14ac:dyDescent="0.3">
      <c r="G1" t="s">
        <v>21</v>
      </c>
      <c r="I1" s="14" t="s">
        <v>22</v>
      </c>
    </row>
    <row r="2" spans="2:15" ht="26.45" customHeight="1" x14ac:dyDescent="0.3">
      <c r="B2" s="15"/>
      <c r="C2" s="15"/>
      <c r="D2" s="15"/>
      <c r="E2" s="256" t="s">
        <v>189</v>
      </c>
      <c r="F2" s="256"/>
      <c r="G2" s="256"/>
      <c r="I2" s="16" t="s">
        <v>23</v>
      </c>
    </row>
    <row r="3" spans="2:15" ht="27" customHeight="1" x14ac:dyDescent="0.3">
      <c r="B3" s="15"/>
      <c r="C3" s="15"/>
      <c r="E3" s="15"/>
      <c r="F3" s="15"/>
      <c r="I3" s="17" t="s">
        <v>24</v>
      </c>
    </row>
    <row r="4" spans="2:15" s="18" customFormat="1" ht="27" customHeight="1" thickBot="1" x14ac:dyDescent="0.35">
      <c r="B4" s="18" t="s">
        <v>25</v>
      </c>
      <c r="C4" s="19" t="s">
        <v>26</v>
      </c>
      <c r="D4" s="18" t="s">
        <v>27</v>
      </c>
      <c r="E4" s="216" t="s">
        <v>28</v>
      </c>
      <c r="F4" s="18" t="s">
        <v>29</v>
      </c>
      <c r="G4" s="18" t="s">
        <v>30</v>
      </c>
      <c r="I4" s="20" t="s">
        <v>31</v>
      </c>
    </row>
    <row r="5" spans="2:15" s="24" customFormat="1" ht="26.1" customHeight="1" thickBot="1" x14ac:dyDescent="0.35">
      <c r="B5" s="3">
        <v>10</v>
      </c>
      <c r="C5" s="4" t="s">
        <v>204</v>
      </c>
      <c r="D5" s="68" t="str">
        <f>VLOOKUP(SaleItems_Table2[[#This Row],[Omschrijving]],Prijsbronlijst!A:C,2,0)</f>
        <v>TW 400-420MAP 25jaar garantie</v>
      </c>
      <c r="E5" s="217">
        <f>VLOOKUP(SaleItems_Table2[[#This Row],[Omschrijving]],Prijsbronlijst!A:F,4,0)</f>
        <v>420</v>
      </c>
      <c r="F5" s="22">
        <f>VLOOKUP(SaleItems_Table2[[#This Row],[Omschrijving]],Prijsbronlijst!A:C,3,0)</f>
        <v>95</v>
      </c>
      <c r="G5" s="23">
        <f>SaleItems_Table2[[#This Row],[Prijs per eenheid]]*SaleItems_Table2[[#This Row],[Aantal]]</f>
        <v>950</v>
      </c>
      <c r="I5" s="25" t="s">
        <v>32</v>
      </c>
    </row>
    <row r="6" spans="2:15" s="24" customFormat="1" ht="18.75" customHeight="1" thickBot="1" x14ac:dyDescent="0.35">
      <c r="B6" s="26"/>
      <c r="C6" s="21"/>
      <c r="D6" s="18"/>
      <c r="E6" s="18"/>
      <c r="F6" s="27"/>
      <c r="G6" s="28"/>
    </row>
    <row r="7" spans="2:15" s="24" customFormat="1" ht="26.1" customHeight="1" thickBot="1" x14ac:dyDescent="0.35">
      <c r="B7" s="5">
        <f>B5-B8</f>
        <v>10</v>
      </c>
      <c r="C7" s="21" t="s">
        <v>33</v>
      </c>
      <c r="D7" s="21" t="str">
        <f>VLOOKUP(SaleItems_Table2[[#This Row],[Omschrijving]],Prijsbronlijst!A:C,2,0)</f>
        <v> Montage materiaal Solarstell (20 jaar fabrieksgarantie)</v>
      </c>
      <c r="E7" s="21"/>
      <c r="F7" s="22">
        <f>VLOOKUP(SaleItems_Table2[[#This Row],[Omschrijving]],Prijsbronlijst!A:C,3,0)</f>
        <v>50</v>
      </c>
      <c r="G7" s="23">
        <f>SaleItems_Table2[[#This Row],[Prijs per eenheid]]*SaleItems_Table2[[#This Row],[Aantal]]</f>
        <v>500</v>
      </c>
    </row>
    <row r="8" spans="2:15" s="24" customFormat="1" ht="26.1" customHeight="1" thickBot="1" x14ac:dyDescent="0.35">
      <c r="B8" s="6">
        <v>0</v>
      </c>
      <c r="C8" s="29" t="s">
        <v>18</v>
      </c>
      <c r="D8" s="30" t="str">
        <f>VLOOKUP(SaleItems_Table2[[#This Row],[Omschrijving]],Prijsbronlijst!A:C,2,0)</f>
        <v>Montage materiaal Solarstell incl. ballast (20 jaar fabrieksgarantie)</v>
      </c>
      <c r="E8" s="29"/>
      <c r="F8" s="31">
        <f>VLOOKUP(SaleItems_Table2[[#This Row],[Omschrijving]],Prijsbronlijst!A:C,3,0)</f>
        <v>70</v>
      </c>
      <c r="G8" s="32">
        <f>SaleItems_Table2[[#This Row],[Prijs per eenheid]]*SaleItems_Table2[[#This Row],[Aantal]]</f>
        <v>0</v>
      </c>
    </row>
    <row r="9" spans="2:15" s="24" customFormat="1" ht="18.600000000000001" customHeight="1" thickBot="1" x14ac:dyDescent="0.35">
      <c r="B9" s="26"/>
      <c r="C9" s="18"/>
      <c r="D9" s="18"/>
      <c r="E9" s="33"/>
      <c r="F9" s="27"/>
      <c r="G9" s="28"/>
      <c r="I9" s="116" t="str" cm="1">
        <f t="array" ref="I9:I11">'Potentiele winst icm micro'!H2:H4</f>
        <v>Terugverdientijd</v>
      </c>
      <c r="J9" s="117"/>
      <c r="K9" s="116" t="str" cm="1">
        <f t="array" ref="K9:K11">'Potentiele winst icm micro'!D2:D4</f>
        <v>Opbrengs</v>
      </c>
      <c r="L9" s="117"/>
      <c r="M9" s="116" t="str" cm="1">
        <f t="array" ref="M9:M11">'Potentiele winst icm micro'!F2:F4</f>
        <v>Rendement</v>
      </c>
      <c r="N9" s="117"/>
      <c r="O9" s="116" t="str" cm="1">
        <f t="array" ref="O9:O11">'Potentiele winst icm micro'!G2:G4</f>
        <v xml:space="preserve">Rendement </v>
      </c>
    </row>
    <row r="10" spans="2:15" s="24" customFormat="1" ht="26.1" customHeight="1" thickBot="1" x14ac:dyDescent="0.35">
      <c r="B10" s="7">
        <f>B5</f>
        <v>10</v>
      </c>
      <c r="C10" s="34" t="str">
        <f>VLOOKUP(SaleItems_Table2[[#This Row],[Aantal]],Prijsbronlijst!A:C,2)</f>
        <v>Montage 10 zonnepanelen</v>
      </c>
      <c r="D10" s="21" t="s">
        <v>34</v>
      </c>
      <c r="E10" s="21"/>
      <c r="F10" s="22"/>
      <c r="G10" s="22">
        <f>VLOOKUP(SaleItems_Table2[[#This Row],[Aantal]],Prijsbronlijst!A:C,3,0)</f>
        <v>1195.83</v>
      </c>
      <c r="I10" s="118" t="str">
        <v>in jaren</v>
      </c>
      <c r="J10" s="117"/>
      <c r="K10" s="118" t="str">
        <v>€ gem per jaar</v>
      </c>
      <c r="L10" s="117"/>
      <c r="M10" s="118" t="str">
        <v>€ gem per jaar</v>
      </c>
      <c r="N10" s="117"/>
      <c r="O10" s="118" t="str">
        <v>% gem per jaar</v>
      </c>
    </row>
    <row r="11" spans="2:15" s="24" customFormat="1" ht="26.1" customHeight="1" thickBot="1" x14ac:dyDescent="0.35">
      <c r="B11" s="8" t="s">
        <v>145</v>
      </c>
      <c r="C11" s="29" t="s">
        <v>147</v>
      </c>
      <c r="D11" s="29" t="s">
        <v>36</v>
      </c>
      <c r="E11" s="35">
        <f>VLOOKUP(SaleItems_Table2[[#This Row],[Aantal]],Prijsbronlijst!A:F,4,0)</f>
        <v>1.3</v>
      </c>
      <c r="F11" s="35">
        <f>VLOOKUP(SaleItems_Table2[[#This Row],[Aantal]],Prijsbronlijst!A:F,5,0)</f>
        <v>0.82</v>
      </c>
      <c r="G11" s="32"/>
      <c r="H11" s="38"/>
      <c r="I11" s="119">
        <v>4.4577509470891421</v>
      </c>
      <c r="J11" s="117"/>
      <c r="K11" s="120">
        <v>1045.5563927463165</v>
      </c>
      <c r="L11" s="117"/>
      <c r="M11" s="120">
        <v>812.51489274631649</v>
      </c>
      <c r="N11" s="117"/>
      <c r="O11" s="121">
        <v>0.17432836914161556</v>
      </c>
    </row>
    <row r="12" spans="2:15" s="24" customFormat="1" ht="19.149999999999999" customHeight="1" x14ac:dyDescent="0.3">
      <c r="B12" s="36"/>
      <c r="C12" s="18"/>
      <c r="D12" s="18"/>
      <c r="E12" s="33"/>
      <c r="F12" s="27"/>
      <c r="G12" s="28"/>
    </row>
    <row r="13" spans="2:15" s="24" customFormat="1" ht="19.149999999999999" customHeight="1" x14ac:dyDescent="0.3">
      <c r="B13" s="36"/>
      <c r="C13" s="18"/>
      <c r="D13" s="68"/>
      <c r="E13" s="33"/>
      <c r="F13" s="27"/>
      <c r="G13" s="28"/>
    </row>
    <row r="14" spans="2:15" s="24" customFormat="1" ht="18.75" customHeight="1" thickBot="1" x14ac:dyDescent="0.35">
      <c r="B14" s="36"/>
      <c r="C14" s="18"/>
      <c r="D14" s="198"/>
      <c r="E14" s="33"/>
      <c r="F14" s="27"/>
      <c r="G14" s="28"/>
    </row>
    <row r="15" spans="2:15" s="38" customFormat="1" ht="30.6" customHeight="1" thickBot="1" x14ac:dyDescent="0.35">
      <c r="B15" s="215"/>
      <c r="C15" s="214"/>
      <c r="D15" s="212" t="s">
        <v>38</v>
      </c>
      <c r="E15" s="199">
        <f>C16*F11</f>
        <v>3444</v>
      </c>
      <c r="F15" s="27"/>
      <c r="G15" s="37"/>
      <c r="H15" s="24"/>
      <c r="I15" s="252" t="s">
        <v>148</v>
      </c>
      <c r="J15" s="253"/>
      <c r="K15" s="253"/>
      <c r="L15" s="253"/>
      <c r="M15" s="253"/>
      <c r="N15" s="124"/>
      <c r="O15" s="123">
        <f>SaleItems_Table2[[#This Row],[Kolom1]]</f>
        <v>3444</v>
      </c>
    </row>
    <row r="16" spans="2:15" s="24" customFormat="1" ht="30.6" customHeight="1" thickBot="1" x14ac:dyDescent="0.35">
      <c r="B16" s="210" t="s">
        <v>39</v>
      </c>
      <c r="C16" s="211">
        <f>E5*B5</f>
        <v>4200</v>
      </c>
      <c r="D16" s="213" t="s">
        <v>40</v>
      </c>
      <c r="E16" s="200">
        <f>G26/SaleItems_Table2[[#This Row],[Omschrijving]]</f>
        <v>1.1097214285714285</v>
      </c>
      <c r="F16" s="145"/>
      <c r="G16" s="146"/>
      <c r="I16" s="254" t="s">
        <v>41</v>
      </c>
      <c r="J16" s="255"/>
      <c r="K16" s="255"/>
      <c r="L16" s="255"/>
      <c r="M16" s="255"/>
      <c r="N16" s="125"/>
      <c r="O16" s="122">
        <f>SaleItems_Table2[[#This Row],[Kolom1]]</f>
        <v>1.1097214285714285</v>
      </c>
    </row>
    <row r="17" spans="2:16" s="24" customFormat="1" ht="18.600000000000001" customHeight="1" x14ac:dyDescent="0.3">
      <c r="B17" s="26"/>
      <c r="C17" s="18"/>
      <c r="D17" s="33"/>
      <c r="E17" s="18"/>
      <c r="F17" s="27"/>
      <c r="G17" s="28"/>
      <c r="I17"/>
      <c r="J17"/>
      <c r="K17"/>
      <c r="L17"/>
      <c r="M17"/>
      <c r="N17"/>
      <c r="O17"/>
    </row>
    <row r="18" spans="2:16" s="24" customFormat="1" ht="18.75" customHeight="1" thickBot="1" x14ac:dyDescent="0.35">
      <c r="B18" s="36"/>
      <c r="C18" s="18"/>
      <c r="D18" s="33"/>
      <c r="E18" s="33"/>
      <c r="F18" s="27"/>
      <c r="G18" s="28"/>
      <c r="I18" s="52"/>
      <c r="J18" s="52"/>
      <c r="K18" s="52"/>
      <c r="L18" s="52"/>
      <c r="M18" s="52"/>
      <c r="N18" s="52"/>
      <c r="O18" s="52"/>
    </row>
    <row r="19" spans="2:16" s="24" customFormat="1" ht="48" thickBot="1" x14ac:dyDescent="0.35">
      <c r="B19" s="26"/>
      <c r="C19" s="18"/>
      <c r="D19" s="43"/>
      <c r="E19" s="44" t="s">
        <v>198</v>
      </c>
      <c r="F19" s="227" t="s">
        <v>199</v>
      </c>
      <c r="G19" s="28"/>
      <c r="H19" s="51"/>
      <c r="I19" s="52"/>
      <c r="J19" s="52"/>
      <c r="K19" s="52"/>
      <c r="L19" s="52"/>
      <c r="M19" s="52"/>
      <c r="N19" s="52"/>
      <c r="O19" s="52"/>
    </row>
    <row r="20" spans="2:16" s="24" customFormat="1" ht="32.25" thickBot="1" x14ac:dyDescent="0.35">
      <c r="B20" s="206" t="s">
        <v>45</v>
      </c>
      <c r="C20" s="207" t="s">
        <v>192</v>
      </c>
      <c r="D20" s="208" t="s">
        <v>196</v>
      </c>
      <c r="E20" s="12">
        <f>VLOOKUP(SaleItems_Table2[[#This Row],[Aantal]],Prijsbronlijst!A:H,7,0)</f>
        <v>12</v>
      </c>
      <c r="F20" s="13">
        <f>VLOOKUP(SaleItems_Table2[[#This Row],[Aantal]],Prijsbronlijst!A:H,8,0)</f>
        <v>36</v>
      </c>
      <c r="G20" s="23"/>
      <c r="I20" s="52"/>
      <c r="J20" s="52"/>
      <c r="K20" s="52"/>
      <c r="L20" s="52"/>
      <c r="M20" s="52"/>
      <c r="N20" s="52"/>
      <c r="O20" s="52"/>
      <c r="P20" s="48"/>
    </row>
    <row r="21" spans="2:16" s="24" customFormat="1" ht="32.450000000000003" customHeight="1" thickBot="1" x14ac:dyDescent="0.35">
      <c r="B21" s="204" t="s">
        <v>193</v>
      </c>
      <c r="C21" s="205" t="s">
        <v>201</v>
      </c>
      <c r="D21" s="209" t="str">
        <f>VLOOKUP(SaleItems_Table2[[#This Row],[Omschrijving]],Prijsbronlijst!A:C,2,0)</f>
        <v xml:space="preserve">Let op de kleur aanduiding max micro icm netaansluiting en basis pakket </v>
      </c>
      <c r="E21" s="201">
        <f>VLOOKUP(SaleItems_Table2[[#This Row],[Omschrijving]],Prijsbronlijst!A:H,7,0)</f>
        <v>10</v>
      </c>
      <c r="F21" s="202">
        <f>VLOOKUP(SaleItems_Table2[[#This Row],[Omschrijving]],Prijsbronlijst!A:H,8,0)</f>
        <v>0</v>
      </c>
      <c r="G21" s="203">
        <f>VLOOKUP(SaleItems_Table2[[#This Row],[Omschrijving]],Prijsbronlijst!A:C,3,0)</f>
        <v>265</v>
      </c>
      <c r="I21" s="52"/>
      <c r="J21" s="52"/>
      <c r="K21" s="52"/>
      <c r="L21" s="52"/>
      <c r="M21" s="52"/>
      <c r="N21" s="52"/>
      <c r="O21" s="52"/>
      <c r="P21" s="48"/>
    </row>
    <row r="22" spans="2:16" s="24" customFormat="1" ht="35.450000000000003" customHeight="1" x14ac:dyDescent="0.3">
      <c r="B22" s="36">
        <f>B5</f>
        <v>10</v>
      </c>
      <c r="C22" s="18" t="s">
        <v>194</v>
      </c>
      <c r="D22" s="68" t="str">
        <f>VLOOKUP(SaleItems_Table2[[#This Row],[Omschrijving]],Prijsbronlijst!A:C,2,0)</f>
        <v>Enphase specs</v>
      </c>
      <c r="E22" s="33"/>
      <c r="F22" s="27">
        <f>VLOOKUP(SaleItems_Table2[[#This Row],[Omschrijving]],Prijsbronlijst!A:C,3,0)</f>
        <v>175</v>
      </c>
      <c r="G22" s="28">
        <f>SaleItems_Table2[[#This Row],[Prijs per eenheid]]*SaleItems_Table2[[#This Row],[Aantal]]</f>
        <v>1750</v>
      </c>
      <c r="I22" s="52"/>
      <c r="J22" s="52"/>
      <c r="K22" s="52"/>
      <c r="L22" s="52"/>
      <c r="M22" s="52"/>
      <c r="N22" s="52"/>
      <c r="O22" s="52"/>
      <c r="P22" s="48"/>
    </row>
    <row r="23" spans="2:16" s="24" customFormat="1" ht="19.149999999999999" customHeight="1" x14ac:dyDescent="0.3">
      <c r="B23" s="26"/>
      <c r="C23" s="18"/>
      <c r="D23" s="33"/>
      <c r="E23" s="18"/>
      <c r="F23" s="27"/>
      <c r="G23" s="28"/>
      <c r="H23"/>
      <c r="I23" s="52"/>
      <c r="J23" s="52"/>
      <c r="K23" s="52"/>
      <c r="L23" s="52"/>
      <c r="M23" s="52"/>
      <c r="N23" s="52"/>
      <c r="O23" s="52"/>
      <c r="P23" s="48"/>
    </row>
    <row r="24" spans="2:16" s="24" customFormat="1" ht="26.1" customHeight="1" x14ac:dyDescent="0.3">
      <c r="B24" s="26"/>
      <c r="C24" s="18"/>
      <c r="D24" s="33"/>
      <c r="E24" s="18"/>
      <c r="F24" s="27"/>
      <c r="G24" s="27"/>
      <c r="H24" s="52"/>
      <c r="I24"/>
      <c r="J24"/>
      <c r="K24"/>
      <c r="L24"/>
      <c r="M24"/>
      <c r="N24"/>
      <c r="O24"/>
    </row>
    <row r="25" spans="2:16" ht="20.25" customHeight="1" x14ac:dyDescent="0.3">
      <c r="B25" s="26"/>
      <c r="C25" s="18"/>
      <c r="D25" s="33"/>
    </row>
    <row r="26" spans="2:16" s="52" customFormat="1" ht="26.1" customHeight="1" x14ac:dyDescent="0.3">
      <c r="B26" s="259" t="s">
        <v>49</v>
      </c>
      <c r="C26" s="259"/>
      <c r="D26" s="259"/>
      <c r="E26" s="257" t="s">
        <v>50</v>
      </c>
      <c r="F26" s="257"/>
      <c r="G26" s="53">
        <f>SUM(SaleItems_Table2[Bedrag])</f>
        <v>4660.83</v>
      </c>
      <c r="I26"/>
      <c r="J26"/>
      <c r="K26"/>
      <c r="L26"/>
      <c r="M26"/>
      <c r="N26"/>
      <c r="O26"/>
    </row>
    <row r="27" spans="2:16" ht="26.1" customHeight="1" x14ac:dyDescent="0.3">
      <c r="B27" s="258" t="s">
        <v>51</v>
      </c>
      <c r="C27" s="258"/>
      <c r="D27" s="258"/>
      <c r="H27" s="52"/>
    </row>
    <row r="28" spans="2:16" s="52" customFormat="1" ht="45" customHeight="1" x14ac:dyDescent="0.3">
      <c r="B28" s="251" t="s">
        <v>190</v>
      </c>
      <c r="C28" s="251"/>
      <c r="D28" s="251"/>
      <c r="E28" s="251"/>
      <c r="F28" s="251"/>
      <c r="G28" s="251"/>
    </row>
    <row r="29" spans="2:16" s="52" customFormat="1" ht="26.1" customHeight="1" x14ac:dyDescent="0.3">
      <c r="B29" s="194"/>
      <c r="C29" s="194"/>
      <c r="D29" s="194"/>
      <c r="I29"/>
      <c r="J29"/>
      <c r="K29"/>
      <c r="L29"/>
      <c r="M29"/>
      <c r="N29"/>
      <c r="O29"/>
    </row>
    <row r="30" spans="2:16" s="52" customFormat="1" ht="31.5" customHeight="1" x14ac:dyDescent="0.3">
      <c r="B30" s="54"/>
      <c r="C30" s="55"/>
      <c r="D30" s="55"/>
      <c r="I30"/>
      <c r="J30"/>
      <c r="K30"/>
      <c r="L30"/>
      <c r="M30"/>
      <c r="N30"/>
      <c r="O30"/>
    </row>
    <row r="31" spans="2:16" s="52" customFormat="1" ht="26.1" customHeight="1" x14ac:dyDescent="0.3">
      <c r="B31" s="56"/>
      <c r="E31"/>
      <c r="F31"/>
      <c r="I31"/>
      <c r="J31"/>
      <c r="K31"/>
      <c r="L31"/>
      <c r="M31"/>
      <c r="N31"/>
      <c r="O31"/>
    </row>
    <row r="32" spans="2:16" s="52" customFormat="1" ht="26.1" customHeight="1" x14ac:dyDescent="0.3">
      <c r="E32"/>
      <c r="F32"/>
      <c r="H32"/>
      <c r="I32"/>
      <c r="J32"/>
      <c r="K32"/>
      <c r="L32"/>
      <c r="M32"/>
      <c r="N32"/>
      <c r="O32"/>
    </row>
    <row r="33" spans="2:15" s="52" customFormat="1" ht="26.1" customHeight="1" x14ac:dyDescent="0.3">
      <c r="E33"/>
      <c r="F33"/>
      <c r="H33"/>
      <c r="I33"/>
      <c r="J33"/>
      <c r="K33"/>
      <c r="L33"/>
      <c r="M33"/>
      <c r="N33"/>
      <c r="O33"/>
    </row>
    <row r="34" spans="2:15" s="52" customFormat="1" ht="26.1" customHeight="1" x14ac:dyDescent="0.3">
      <c r="E34"/>
      <c r="F34"/>
      <c r="G34"/>
      <c r="H34"/>
      <c r="I34"/>
      <c r="J34"/>
      <c r="K34"/>
      <c r="L34"/>
      <c r="M34"/>
      <c r="N34"/>
      <c r="O34"/>
    </row>
    <row r="35" spans="2:15" ht="26.1" customHeight="1" x14ac:dyDescent="0.3">
      <c r="B35" s="52"/>
      <c r="C35" s="52"/>
      <c r="D35" s="52"/>
    </row>
  </sheetData>
  <sheetProtection algorithmName="SHA-512" hashValue="LXzJrJ/tnPny1+TU7/CQqJ+47cGAlsl7FUE7fS675cUHINJdfUBZlfn0OuU/oYrI2JVFa9phPBXXAeeOCigtkw==" saltValue="7oR6UVIMxu8nKPQSt6d0Fw==" spinCount="100000" sheet="1" objects="1" scenarios="1"/>
  <dataConsolidate/>
  <mergeCells count="7">
    <mergeCell ref="B28:G28"/>
    <mergeCell ref="E2:G2"/>
    <mergeCell ref="I15:M15"/>
    <mergeCell ref="I16:M16"/>
    <mergeCell ref="B26:D26"/>
    <mergeCell ref="E26:F26"/>
    <mergeCell ref="B27:D27"/>
  </mergeCells>
  <conditionalFormatting sqref="B7">
    <cfRule type="cellIs" dxfId="4" priority="7" operator="lessThan">
      <formula>0</formula>
    </cfRule>
  </conditionalFormatting>
  <conditionalFormatting sqref="E21">
    <cfRule type="cellIs" dxfId="3" priority="2" operator="lessThanOrEqual">
      <formula>$E$20</formula>
    </cfRule>
    <cfRule type="cellIs" dxfId="2" priority="4" operator="greaterThan">
      <formula>$E$20</formula>
    </cfRule>
  </conditionalFormatting>
  <conditionalFormatting sqref="F21">
    <cfRule type="cellIs" dxfId="1" priority="1" operator="lessThanOrEqual">
      <formula>$F$20</formula>
    </cfRule>
    <cfRule type="cellIs" dxfId="0" priority="3" operator="greaterThan">
      <formula>$F$20</formula>
    </cfRule>
  </conditionalFormatting>
  <dataValidations count="7">
    <dataValidation allowBlank="1" showInputMessage="1" showErrorMessage="1" prompt="Voer in deze kolom de eenheidsprijs in" sqref="E4:F4" xr:uid="{1B611C5B-7C67-4FD0-9219-4BACB1AA9ACA}"/>
    <dataValidation allowBlank="1" showInputMessage="1" showErrorMessage="1" prompt="Voer in deze kolom een beschrijving in" sqref="C4:E4" xr:uid="{D9166683-A845-4223-B5E7-DDF5025B6B5A}"/>
    <dataValidation allowBlank="1" showInputMessage="1" showErrorMessage="1" prompt="Het totaal verschuldigde bedrag wordt automatisch berekend in deze cel" sqref="G26" xr:uid="{093848EF-6A4D-4BFC-B09B-FFA17A16062A}"/>
    <dataValidation allowBlank="1" showInputMessage="1" showErrorMessage="1" prompt="Het totaal verschuldigde bedrag wordt automatisch berekend in de cel rechts" sqref="E26" xr:uid="{A6DF13E9-B870-4398-AD11-1FB6C2819C26}"/>
    <dataValidation allowBlank="1" showInputMessage="1" showErrorMessage="1" prompt="Het bedrag wordt automatisch berekend in deze kolom onder deze kop en het subtotaal wordt automatisch berekend aan het einde van de tabel" sqref="G4" xr:uid="{AF3807AB-775A-44EF-A26A-F36C009F2806}"/>
    <dataValidation allowBlank="1" showInputMessage="1" showErrorMessage="1" prompt="Voer in deze kolom een hoeveelheid in" sqref="B4" xr:uid="{D2D6E885-3062-4C3D-9065-253A093EFF6A}"/>
    <dataValidation showDropDown="1" showInputMessage="1" showErrorMessage="1" sqref="B13:B14 B22" xr:uid="{D9F584AB-BC30-4FF1-9CB2-9D0C2A742649}"/>
  </dataValidations>
  <hyperlinks>
    <hyperlink ref="B27" r:id="rId1" xr:uid="{19AB20E9-7855-4F5F-82CB-72EB6E3408EC}"/>
    <hyperlink ref="D5" r:id="rId2" display="https://1drv.ms/f/s!AnNONMKqtNr7i4Q5HZyPwnDTEKLVFg?e=fLxNJy" xr:uid="{052F5603-E925-47B7-A05A-76ABE251AEFB}"/>
    <hyperlink ref="B28:D29" r:id="rId3" display="https://e-duurzaam.nl/aanvraag-zonnepanelen-via-offertetool/" xr:uid="{94DBAFA8-DFB8-407C-82EF-EF0E92C5B3FC}"/>
    <hyperlink ref="E2" r:id="rId4" xr:uid="{19036412-4254-4798-B98C-99B257D8D5AC}"/>
    <hyperlink ref="D22" r:id="rId5" display="https://1drv.ms/f/s!AnNONMKqtNr7ipxB7PuZsIrCDoEyCg?e=EaoCUC" xr:uid="{9A1E08D0-7A5E-47DF-8789-7A3314C54224}"/>
  </hyperlinks>
  <printOptions horizontalCentered="1"/>
  <pageMargins left="0.25" right="0.25" top="0.25" bottom="0.75" header="0.3" footer="0.3"/>
  <pageSetup paperSize="9" scale="53" orientation="landscape" r:id="rId6"/>
  <drawing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CD936C5-B2EA-4F22-8739-09F226B3B4FC}">
          <x14:formula1>
            <xm:f>Prijsbronlijst!$A$89:$A$90</xm:f>
          </x14:formula1>
          <xm:sqref>C21</xm:sqref>
        </x14:dataValidation>
        <x14:dataValidation type="list" allowBlank="1" showInputMessage="1" showErrorMessage="1" xr:uid="{03AE6C3B-D8DA-4264-BF66-05080B3C1215}">
          <x14:formula1>
            <xm:f>Prijsbronlijst!$A$85:$A$86</xm:f>
          </x14:formula1>
          <xm:sqref>B11:B12</xm:sqref>
        </x14:dataValidation>
        <x14:dataValidation type="list" allowBlank="1" showInputMessage="1" showErrorMessage="1" xr:uid="{D5260985-C8C0-40E8-A64D-F67D3BD9F254}">
          <x14:formula1>
            <xm:f>Prijsbronlijst!$A$4:$A$6</xm:f>
          </x14:formula1>
          <xm:sqref>B20</xm:sqref>
        </x14:dataValidation>
        <x14:dataValidation type="list" allowBlank="1" showInputMessage="1" showErrorMessage="1" xr:uid="{950C7E33-7DE3-4C6D-BB8A-A474F7077389}">
          <x14:formula1>
            <xm:f>Prijsbronlijst!$A$18:$A$58</xm:f>
          </x14:formula1>
          <xm:sqref>B8 B18:B19</xm:sqref>
        </x14:dataValidation>
        <x14:dataValidation type="list" allowBlank="1" showInputMessage="1" showErrorMessage="1" xr:uid="{036D96C8-894F-4C60-ABAF-39F7B54211E0}">
          <x14:formula1>
            <xm:f>Prijsbronlijst!$A$20:$A$58</xm:f>
          </x14:formula1>
          <xm:sqref>B5</xm:sqref>
        </x14:dataValidation>
        <x14:dataValidation type="list" allowBlank="1" showInputMessage="1" showErrorMessage="1" xr:uid="{8DED6386-0222-4AD8-A4C8-6D11850FA44C}">
          <x14:formula1>
            <xm:f>Prijsbronlijst!$A$9:$A$12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1F15-A26D-4FB9-97D8-BE1E50CADF3A}">
  <sheetPr codeName="Blad3"/>
  <dimension ref="B2:Z45"/>
  <sheetViews>
    <sheetView showGridLines="0" workbookViewId="0">
      <selection activeCell="P31" sqref="P31"/>
    </sheetView>
  </sheetViews>
  <sheetFormatPr defaultColWidth="9" defaultRowHeight="12.75" x14ac:dyDescent="0.2"/>
  <cols>
    <col min="1" max="1" width="2.44140625" style="69" customWidth="1"/>
    <col min="2" max="5" width="11" style="69" customWidth="1"/>
    <col min="6" max="6" width="14" style="69" customWidth="1"/>
    <col min="7" max="7" width="11" style="69" customWidth="1"/>
    <col min="8" max="8" width="14" style="69" customWidth="1"/>
    <col min="9" max="10" width="10.33203125" style="69" bestFit="1" customWidth="1"/>
    <col min="11" max="11" width="11" style="69" customWidth="1"/>
    <col min="12" max="12" width="10.33203125" style="69" bestFit="1" customWidth="1"/>
    <col min="13" max="13" width="12.44140625" style="69" bestFit="1" customWidth="1"/>
    <col min="14" max="14" width="16.88671875" style="69" customWidth="1"/>
    <col min="15" max="15" width="10.33203125" style="69" bestFit="1" customWidth="1"/>
    <col min="16" max="16" width="9" style="69"/>
    <col min="17" max="17" width="53.33203125" style="69" bestFit="1" customWidth="1"/>
    <col min="18" max="18" width="57" style="69" bestFit="1" customWidth="1"/>
    <col min="19" max="24" width="9" style="69"/>
    <col min="25" max="25" width="9" style="69" bestFit="1" customWidth="1"/>
    <col min="26" max="16384" width="9" style="69"/>
  </cols>
  <sheetData>
    <row r="2" spans="2:26" x14ac:dyDescent="0.2">
      <c r="B2" s="84" t="s">
        <v>52</v>
      </c>
      <c r="C2" s="85" t="s">
        <v>53</v>
      </c>
      <c r="D2" s="85" t="s">
        <v>54</v>
      </c>
      <c r="E2" s="85" t="s">
        <v>55</v>
      </c>
      <c r="F2" s="85" t="s">
        <v>56</v>
      </c>
      <c r="G2" s="86" t="s">
        <v>57</v>
      </c>
      <c r="H2" s="87" t="s">
        <v>58</v>
      </c>
      <c r="I2" s="73"/>
      <c r="J2" s="73"/>
      <c r="K2" s="73"/>
      <c r="L2" s="73" t="s">
        <v>59</v>
      </c>
      <c r="M2" s="260" t="s">
        <v>60</v>
      </c>
      <c r="N2" s="260"/>
    </row>
    <row r="3" spans="2:26" ht="11.45" customHeight="1" x14ac:dyDescent="0.2">
      <c r="B3" s="88"/>
      <c r="C3" s="89"/>
      <c r="D3" s="89" t="s">
        <v>61</v>
      </c>
      <c r="E3" s="89" t="s">
        <v>62</v>
      </c>
      <c r="F3" s="89" t="s">
        <v>61</v>
      </c>
      <c r="G3" s="89" t="s">
        <v>63</v>
      </c>
      <c r="H3" s="90" t="s">
        <v>64</v>
      </c>
      <c r="I3" s="73"/>
      <c r="J3" s="73"/>
      <c r="K3" s="73"/>
      <c r="L3" s="91" t="s">
        <v>65</v>
      </c>
      <c r="M3" s="263" t="s">
        <v>66</v>
      </c>
      <c r="N3" s="263"/>
    </row>
    <row r="4" spans="2:26" x14ac:dyDescent="0.2">
      <c r="B4" s="92">
        <f>'Stap 3 Offerte Serie icm GoodWe'!G25</f>
        <v>3430.83</v>
      </c>
      <c r="C4" s="93">
        <f>M30</f>
        <v>22269.080276258806</v>
      </c>
      <c r="D4" s="93">
        <f>C4/20</f>
        <v>1113.4540138129403</v>
      </c>
      <c r="E4" s="94">
        <f>B4/20</f>
        <v>171.54149999999998</v>
      </c>
      <c r="F4" s="94">
        <f>D4-E4</f>
        <v>941.91251381294023</v>
      </c>
      <c r="G4" s="95">
        <f>((B4+F4)-B4)/B4</f>
        <v>0.27454362758077205</v>
      </c>
      <c r="H4" s="96">
        <f>B4/D4</f>
        <v>3.0812498382859821</v>
      </c>
      <c r="I4" s="73"/>
      <c r="J4" s="73"/>
      <c r="K4" s="73"/>
      <c r="L4" s="73"/>
      <c r="M4" s="73"/>
    </row>
    <row r="5" spans="2:26" x14ac:dyDescent="0.2">
      <c r="B5" s="73"/>
      <c r="C5" s="73"/>
      <c r="D5" s="73"/>
      <c r="E5" s="73"/>
      <c r="F5" s="74"/>
      <c r="G5" s="73"/>
      <c r="H5" s="73"/>
      <c r="I5" s="73"/>
      <c r="J5" s="73"/>
      <c r="K5" s="73"/>
    </row>
    <row r="7" spans="2:26" x14ac:dyDescent="0.2">
      <c r="B7" s="97"/>
      <c r="C7" s="98"/>
      <c r="D7" s="98"/>
      <c r="E7" s="261" t="s">
        <v>67</v>
      </c>
      <c r="F7" s="262"/>
      <c r="G7" s="98"/>
      <c r="H7" s="98"/>
      <c r="I7" s="98"/>
      <c r="J7" s="98"/>
      <c r="K7" s="98"/>
      <c r="L7" s="98"/>
      <c r="M7" s="99"/>
    </row>
    <row r="8" spans="2:26" ht="25.5" x14ac:dyDescent="0.2">
      <c r="B8" s="100" t="s">
        <v>68</v>
      </c>
      <c r="C8" s="101" t="s">
        <v>69</v>
      </c>
      <c r="D8" s="101" t="s">
        <v>70</v>
      </c>
      <c r="E8" s="100" t="s">
        <v>71</v>
      </c>
      <c r="F8" s="102" t="s">
        <v>72</v>
      </c>
      <c r="G8" s="101" t="s">
        <v>73</v>
      </c>
      <c r="H8" s="101" t="s">
        <v>74</v>
      </c>
      <c r="I8" s="101" t="s">
        <v>75</v>
      </c>
      <c r="J8" s="101" t="s">
        <v>76</v>
      </c>
      <c r="K8" s="101" t="s">
        <v>77</v>
      </c>
      <c r="L8" s="101" t="s">
        <v>78</v>
      </c>
      <c r="M8" s="103" t="s">
        <v>197</v>
      </c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2:26" ht="13.5" thickBot="1" x14ac:dyDescent="0.25">
      <c r="B9" s="105"/>
      <c r="C9" s="106" t="s">
        <v>79</v>
      </c>
      <c r="D9" s="106" t="s">
        <v>79</v>
      </c>
      <c r="E9" s="106" t="s">
        <v>79</v>
      </c>
      <c r="F9" s="106" t="s">
        <v>79</v>
      </c>
      <c r="G9" s="106" t="s">
        <v>80</v>
      </c>
      <c r="H9" s="106" t="s">
        <v>81</v>
      </c>
      <c r="I9" s="106" t="s">
        <v>81</v>
      </c>
      <c r="J9" s="106" t="s">
        <v>80</v>
      </c>
      <c r="K9" s="106" t="s">
        <v>79</v>
      </c>
      <c r="L9" s="106" t="s">
        <v>79</v>
      </c>
      <c r="M9" s="107" t="s">
        <v>81</v>
      </c>
    </row>
    <row r="10" spans="2:26" ht="12" customHeight="1" x14ac:dyDescent="0.2">
      <c r="B10" s="83">
        <v>2023</v>
      </c>
      <c r="C10" s="80">
        <f>'Stap 3 Offerte Serie icm GoodWe'!E13</f>
        <v>3864</v>
      </c>
      <c r="D10" s="126">
        <v>3000</v>
      </c>
      <c r="E10" s="127"/>
      <c r="F10" s="127"/>
      <c r="G10" s="128">
        <v>0.25</v>
      </c>
      <c r="H10" s="129">
        <v>0.4</v>
      </c>
      <c r="I10" s="130">
        <v>0.3</v>
      </c>
      <c r="J10" s="79">
        <v>1</v>
      </c>
      <c r="K10" s="73">
        <f>(D10+E10+F10)*G10+((D10+E10+F10)*(1-G10)*J10)</f>
        <v>3000</v>
      </c>
      <c r="L10" s="80">
        <f t="shared" ref="L10:L29" si="0">C10-K10</f>
        <v>864</v>
      </c>
      <c r="M10" s="81">
        <f>K10*H10+L10*I10</f>
        <v>1459.2</v>
      </c>
      <c r="R10" s="82"/>
      <c r="T10" s="78"/>
      <c r="U10" s="76"/>
      <c r="V10" s="76"/>
      <c r="W10" s="78"/>
      <c r="Y10" s="82"/>
      <c r="Z10" s="76"/>
    </row>
    <row r="11" spans="2:26" ht="12" customHeight="1" x14ac:dyDescent="0.2">
      <c r="B11" s="83">
        <v>2024</v>
      </c>
      <c r="C11" s="80">
        <f>C10*0.994</f>
        <v>3840.8159999999998</v>
      </c>
      <c r="D11" s="131">
        <v>3000</v>
      </c>
      <c r="E11" s="132"/>
      <c r="F11" s="132"/>
      <c r="G11" s="133">
        <v>0.25</v>
      </c>
      <c r="H11" s="134">
        <v>0.4</v>
      </c>
      <c r="I11" s="135">
        <v>0.3</v>
      </c>
      <c r="J11" s="79">
        <v>1</v>
      </c>
      <c r="K11" s="73">
        <f t="shared" ref="K11:K29" si="1">(D11+E11+F11)*G11+((D11+E11+F11)*(1-G11)*J11)</f>
        <v>3000</v>
      </c>
      <c r="L11" s="80">
        <f t="shared" si="0"/>
        <v>840.8159999999998</v>
      </c>
      <c r="M11" s="81">
        <f t="shared" ref="M11:M29" si="2">K11*H11+L11*I11</f>
        <v>1452.2447999999999</v>
      </c>
      <c r="R11" s="82"/>
      <c r="T11" s="78"/>
      <c r="U11" s="76"/>
      <c r="V11" s="76"/>
      <c r="W11" s="78"/>
      <c r="Y11" s="82"/>
      <c r="Z11" s="76"/>
    </row>
    <row r="12" spans="2:26" ht="12" customHeight="1" x14ac:dyDescent="0.2">
      <c r="B12" s="83">
        <v>2025</v>
      </c>
      <c r="C12" s="80">
        <f t="shared" ref="C12:C29" si="3">C11*0.994</f>
        <v>3817.7711039999999</v>
      </c>
      <c r="D12" s="131">
        <v>3000</v>
      </c>
      <c r="E12" s="132"/>
      <c r="F12" s="132"/>
      <c r="G12" s="133">
        <v>0.25</v>
      </c>
      <c r="H12" s="134">
        <v>0.4</v>
      </c>
      <c r="I12" s="135">
        <v>0.1</v>
      </c>
      <c r="J12" s="79">
        <v>0.64</v>
      </c>
      <c r="K12" s="73">
        <f t="shared" si="1"/>
        <v>2190</v>
      </c>
      <c r="L12" s="80">
        <f t="shared" si="0"/>
        <v>1627.7711039999999</v>
      </c>
      <c r="M12" s="81">
        <f t="shared" si="2"/>
        <v>1038.7771104000001</v>
      </c>
      <c r="R12" s="82"/>
      <c r="T12" s="78"/>
      <c r="U12" s="76"/>
      <c r="V12" s="76"/>
      <c r="W12" s="78"/>
      <c r="Y12" s="82"/>
      <c r="Z12" s="76"/>
    </row>
    <row r="13" spans="2:26" ht="12" customHeight="1" x14ac:dyDescent="0.2">
      <c r="B13" s="83">
        <v>2026</v>
      </c>
      <c r="C13" s="80">
        <f t="shared" si="3"/>
        <v>3794.8644773759997</v>
      </c>
      <c r="D13" s="131">
        <v>3000</v>
      </c>
      <c r="E13" s="132">
        <v>2500</v>
      </c>
      <c r="F13" s="132"/>
      <c r="G13" s="133">
        <v>0.22</v>
      </c>
      <c r="H13" s="134">
        <v>0.4</v>
      </c>
      <c r="I13" s="135">
        <v>0.15</v>
      </c>
      <c r="J13" s="79">
        <v>0.64</v>
      </c>
      <c r="K13" s="73">
        <f t="shared" si="1"/>
        <v>3955.6</v>
      </c>
      <c r="L13" s="80">
        <f t="shared" si="0"/>
        <v>-160.73552262400017</v>
      </c>
      <c r="M13" s="81">
        <f t="shared" si="2"/>
        <v>1558.1296716064001</v>
      </c>
      <c r="R13" s="82"/>
      <c r="T13" s="78"/>
      <c r="U13" s="76"/>
      <c r="V13" s="76"/>
      <c r="W13" s="78"/>
      <c r="Y13" s="82"/>
      <c r="Z13" s="76"/>
    </row>
    <row r="14" spans="2:26" ht="12" customHeight="1" x14ac:dyDescent="0.2">
      <c r="B14" s="83">
        <v>2027</v>
      </c>
      <c r="C14" s="80">
        <f t="shared" si="3"/>
        <v>3772.0952905117438</v>
      </c>
      <c r="D14" s="131">
        <v>3000</v>
      </c>
      <c r="E14" s="132">
        <v>2500</v>
      </c>
      <c r="F14" s="132"/>
      <c r="G14" s="133">
        <v>0.22</v>
      </c>
      <c r="H14" s="134">
        <v>0.4</v>
      </c>
      <c r="I14" s="135">
        <v>0.15</v>
      </c>
      <c r="J14" s="79">
        <v>0.55000000000000004</v>
      </c>
      <c r="K14" s="73">
        <f t="shared" si="1"/>
        <v>3569.5</v>
      </c>
      <c r="L14" s="80">
        <f t="shared" si="0"/>
        <v>202.59529051174377</v>
      </c>
      <c r="M14" s="81">
        <f t="shared" si="2"/>
        <v>1458.1892935767617</v>
      </c>
      <c r="R14" s="82"/>
      <c r="T14" s="78"/>
      <c r="U14" s="76"/>
      <c r="V14" s="76"/>
      <c r="W14" s="78"/>
      <c r="X14" s="82"/>
      <c r="Y14" s="82"/>
      <c r="Z14" s="76"/>
    </row>
    <row r="15" spans="2:26" ht="12" customHeight="1" x14ac:dyDescent="0.2">
      <c r="B15" s="83">
        <v>2028</v>
      </c>
      <c r="C15" s="80">
        <f t="shared" si="3"/>
        <v>3749.4627187686733</v>
      </c>
      <c r="D15" s="131">
        <v>3000</v>
      </c>
      <c r="E15" s="132">
        <v>2500</v>
      </c>
      <c r="F15" s="132"/>
      <c r="G15" s="133">
        <v>0.22</v>
      </c>
      <c r="H15" s="134">
        <v>0.4</v>
      </c>
      <c r="I15" s="135">
        <v>0.13</v>
      </c>
      <c r="J15" s="79">
        <v>0.46</v>
      </c>
      <c r="K15" s="73">
        <f t="shared" si="1"/>
        <v>3183.4</v>
      </c>
      <c r="L15" s="80">
        <f t="shared" si="0"/>
        <v>566.06271876867322</v>
      </c>
      <c r="M15" s="81">
        <f t="shared" si="2"/>
        <v>1346.9481534399276</v>
      </c>
      <c r="R15" s="82"/>
      <c r="T15" s="78"/>
      <c r="U15" s="76"/>
      <c r="V15" s="76"/>
      <c r="W15" s="78"/>
      <c r="X15" s="82"/>
      <c r="Y15" s="82"/>
      <c r="Z15" s="76"/>
    </row>
    <row r="16" spans="2:26" ht="12" customHeight="1" x14ac:dyDescent="0.2">
      <c r="B16" s="83">
        <v>2029</v>
      </c>
      <c r="C16" s="80">
        <f t="shared" si="3"/>
        <v>3726.9659424560614</v>
      </c>
      <c r="D16" s="131">
        <v>3000</v>
      </c>
      <c r="E16" s="132">
        <v>2500</v>
      </c>
      <c r="F16" s="132"/>
      <c r="G16" s="133">
        <v>0.22</v>
      </c>
      <c r="H16" s="134">
        <v>0.4</v>
      </c>
      <c r="I16" s="135">
        <v>0.15</v>
      </c>
      <c r="J16" s="79">
        <v>0.37</v>
      </c>
      <c r="K16" s="73">
        <f t="shared" si="1"/>
        <v>2797.3</v>
      </c>
      <c r="L16" s="80">
        <f t="shared" si="0"/>
        <v>929.6659424560612</v>
      </c>
      <c r="M16" s="81">
        <f t="shared" si="2"/>
        <v>1258.3698913684093</v>
      </c>
      <c r="R16" s="82"/>
      <c r="T16" s="78"/>
      <c r="U16" s="76"/>
      <c r="V16" s="76"/>
      <c r="W16" s="78"/>
      <c r="X16" s="82"/>
      <c r="Y16" s="82"/>
      <c r="Z16" s="76"/>
    </row>
    <row r="17" spans="2:26" ht="12" customHeight="1" x14ac:dyDescent="0.2">
      <c r="B17" s="83">
        <v>2030</v>
      </c>
      <c r="C17" s="80">
        <f t="shared" si="3"/>
        <v>3704.604146801325</v>
      </c>
      <c r="D17" s="131">
        <v>3000</v>
      </c>
      <c r="E17" s="132">
        <v>2500</v>
      </c>
      <c r="F17" s="132"/>
      <c r="G17" s="133">
        <v>0.22</v>
      </c>
      <c r="H17" s="134">
        <v>0.4</v>
      </c>
      <c r="I17" s="135">
        <v>0.15</v>
      </c>
      <c r="J17" s="79">
        <v>0.28000000000000003</v>
      </c>
      <c r="K17" s="73">
        <f t="shared" si="1"/>
        <v>2411.1999999999998</v>
      </c>
      <c r="L17" s="80">
        <f t="shared" si="0"/>
        <v>1293.4041468013252</v>
      </c>
      <c r="M17" s="81">
        <f t="shared" si="2"/>
        <v>1158.4906220201988</v>
      </c>
      <c r="R17" s="82"/>
      <c r="T17" s="78"/>
      <c r="U17" s="76"/>
      <c r="V17" s="76"/>
      <c r="W17" s="78"/>
      <c r="Y17" s="82"/>
      <c r="Z17" s="76"/>
    </row>
    <row r="18" spans="2:26" ht="12" customHeight="1" x14ac:dyDescent="0.2">
      <c r="B18" s="83">
        <v>2031</v>
      </c>
      <c r="C18" s="80">
        <f t="shared" si="3"/>
        <v>3682.376521920517</v>
      </c>
      <c r="D18" s="131">
        <v>3000</v>
      </c>
      <c r="E18" s="132">
        <v>2500</v>
      </c>
      <c r="F18" s="132"/>
      <c r="G18" s="133">
        <v>0.22</v>
      </c>
      <c r="H18" s="134">
        <v>0.4</v>
      </c>
      <c r="I18" s="135">
        <v>0.15</v>
      </c>
      <c r="J18" s="79">
        <v>0</v>
      </c>
      <c r="K18" s="73">
        <f t="shared" si="1"/>
        <v>1210</v>
      </c>
      <c r="L18" s="80">
        <f t="shared" si="0"/>
        <v>2472.376521920517</v>
      </c>
      <c r="M18" s="81">
        <f t="shared" si="2"/>
        <v>854.8564782880776</v>
      </c>
      <c r="R18" s="82"/>
      <c r="T18" s="78"/>
      <c r="U18" s="76"/>
      <c r="V18" s="76"/>
      <c r="W18" s="78"/>
      <c r="Y18" s="82"/>
      <c r="Z18" s="76"/>
    </row>
    <row r="19" spans="2:26" ht="12" customHeight="1" x14ac:dyDescent="0.2">
      <c r="B19" s="83">
        <v>2032</v>
      </c>
      <c r="C19" s="80">
        <f t="shared" si="3"/>
        <v>3660.2822627889941</v>
      </c>
      <c r="D19" s="131">
        <v>3000</v>
      </c>
      <c r="E19" s="132">
        <v>2500</v>
      </c>
      <c r="F19" s="132"/>
      <c r="G19" s="133">
        <v>0.22</v>
      </c>
      <c r="H19" s="134">
        <v>0.4</v>
      </c>
      <c r="I19" s="135">
        <v>0.2</v>
      </c>
      <c r="J19" s="79">
        <v>0</v>
      </c>
      <c r="K19" s="73">
        <f t="shared" si="1"/>
        <v>1210</v>
      </c>
      <c r="L19" s="80">
        <f t="shared" si="0"/>
        <v>2450.2822627889941</v>
      </c>
      <c r="M19" s="81">
        <f t="shared" si="2"/>
        <v>974.05645255779882</v>
      </c>
    </row>
    <row r="20" spans="2:26" ht="12" customHeight="1" x14ac:dyDescent="0.2">
      <c r="B20" s="83">
        <v>2033</v>
      </c>
      <c r="C20" s="80">
        <f t="shared" si="3"/>
        <v>3638.3205692122601</v>
      </c>
      <c r="D20" s="131">
        <v>3000</v>
      </c>
      <c r="E20" s="132">
        <v>2500</v>
      </c>
      <c r="F20" s="132"/>
      <c r="G20" s="133">
        <v>0.23</v>
      </c>
      <c r="H20" s="134">
        <v>0.4</v>
      </c>
      <c r="I20" s="135">
        <v>0.2</v>
      </c>
      <c r="J20" s="79">
        <v>0</v>
      </c>
      <c r="K20" s="73">
        <f t="shared" si="1"/>
        <v>1265</v>
      </c>
      <c r="L20" s="80">
        <f t="shared" si="0"/>
        <v>2373.3205692122601</v>
      </c>
      <c r="M20" s="81">
        <f t="shared" si="2"/>
        <v>980.66411384245202</v>
      </c>
    </row>
    <row r="21" spans="2:26" ht="12" customHeight="1" x14ac:dyDescent="0.2">
      <c r="B21" s="83">
        <v>2034</v>
      </c>
      <c r="C21" s="80">
        <f t="shared" si="3"/>
        <v>3616.4906457969864</v>
      </c>
      <c r="D21" s="131">
        <v>3000</v>
      </c>
      <c r="E21" s="132">
        <v>2500</v>
      </c>
      <c r="F21" s="132"/>
      <c r="G21" s="133">
        <v>0.23</v>
      </c>
      <c r="H21" s="134">
        <v>0.4</v>
      </c>
      <c r="I21" s="135">
        <v>0.15</v>
      </c>
      <c r="J21" s="79">
        <v>0</v>
      </c>
      <c r="K21" s="73">
        <f t="shared" si="1"/>
        <v>1265</v>
      </c>
      <c r="L21" s="80">
        <f t="shared" si="0"/>
        <v>2351.4906457969864</v>
      </c>
      <c r="M21" s="81">
        <f t="shared" si="2"/>
        <v>858.72359686954792</v>
      </c>
    </row>
    <row r="22" spans="2:26" ht="12" customHeight="1" x14ac:dyDescent="0.2">
      <c r="B22" s="83">
        <v>2035</v>
      </c>
      <c r="C22" s="80">
        <f t="shared" si="3"/>
        <v>3594.7917019222045</v>
      </c>
      <c r="D22" s="131">
        <v>3000</v>
      </c>
      <c r="E22" s="132">
        <v>2500</v>
      </c>
      <c r="F22" s="132"/>
      <c r="G22" s="133">
        <v>0.23</v>
      </c>
      <c r="H22" s="134">
        <v>0.4</v>
      </c>
      <c r="I22" s="135">
        <v>0.15</v>
      </c>
      <c r="J22" s="79">
        <v>0</v>
      </c>
      <c r="K22" s="73">
        <f t="shared" si="1"/>
        <v>1265</v>
      </c>
      <c r="L22" s="80">
        <f t="shared" si="0"/>
        <v>2329.7917019222045</v>
      </c>
      <c r="M22" s="81">
        <f t="shared" si="2"/>
        <v>855.46875528833061</v>
      </c>
    </row>
    <row r="23" spans="2:26" ht="12" customHeight="1" x14ac:dyDescent="0.2">
      <c r="B23" s="83">
        <v>2036</v>
      </c>
      <c r="C23" s="80">
        <f t="shared" si="3"/>
        <v>3573.2229517106712</v>
      </c>
      <c r="D23" s="131">
        <v>3000</v>
      </c>
      <c r="E23" s="132">
        <v>2500</v>
      </c>
      <c r="F23" s="132"/>
      <c r="G23" s="133">
        <v>0.23</v>
      </c>
      <c r="H23" s="134">
        <v>0.4</v>
      </c>
      <c r="I23" s="135">
        <v>0.2</v>
      </c>
      <c r="J23" s="79">
        <v>0</v>
      </c>
      <c r="K23" s="73">
        <f t="shared" si="1"/>
        <v>1265</v>
      </c>
      <c r="L23" s="80">
        <f t="shared" si="0"/>
        <v>2308.2229517106712</v>
      </c>
      <c r="M23" s="81">
        <f t="shared" si="2"/>
        <v>967.64459034213428</v>
      </c>
    </row>
    <row r="24" spans="2:26" ht="12" customHeight="1" x14ac:dyDescent="0.2">
      <c r="B24" s="83">
        <v>2037</v>
      </c>
      <c r="C24" s="80">
        <f t="shared" si="3"/>
        <v>3551.7836140004069</v>
      </c>
      <c r="D24" s="131">
        <v>3000</v>
      </c>
      <c r="E24" s="132">
        <v>2500</v>
      </c>
      <c r="F24" s="132">
        <v>4000</v>
      </c>
      <c r="G24" s="133">
        <v>0.2</v>
      </c>
      <c r="H24" s="134">
        <v>0.4</v>
      </c>
      <c r="I24" s="135">
        <v>0.15</v>
      </c>
      <c r="J24" s="79">
        <v>0</v>
      </c>
      <c r="K24" s="73">
        <f t="shared" si="1"/>
        <v>1900</v>
      </c>
      <c r="L24" s="80">
        <f t="shared" si="0"/>
        <v>1651.7836140004069</v>
      </c>
      <c r="M24" s="81">
        <f t="shared" si="2"/>
        <v>1007.7675421000611</v>
      </c>
    </row>
    <row r="25" spans="2:26" ht="12" customHeight="1" x14ac:dyDescent="0.2">
      <c r="B25" s="83">
        <v>2038</v>
      </c>
      <c r="C25" s="80">
        <f t="shared" si="3"/>
        <v>3530.4729123164043</v>
      </c>
      <c r="D25" s="131">
        <v>3000</v>
      </c>
      <c r="E25" s="132">
        <v>2500</v>
      </c>
      <c r="F25" s="132">
        <v>4000</v>
      </c>
      <c r="G25" s="133">
        <v>0.2</v>
      </c>
      <c r="H25" s="134">
        <v>0.4</v>
      </c>
      <c r="I25" s="135">
        <v>0.15</v>
      </c>
      <c r="J25" s="79">
        <v>0</v>
      </c>
      <c r="K25" s="73">
        <f t="shared" si="1"/>
        <v>1900</v>
      </c>
      <c r="L25" s="80">
        <f t="shared" si="0"/>
        <v>1630.4729123164043</v>
      </c>
      <c r="M25" s="81">
        <f t="shared" si="2"/>
        <v>1004.5709368474606</v>
      </c>
    </row>
    <row r="26" spans="2:26" ht="12" customHeight="1" x14ac:dyDescent="0.2">
      <c r="B26" s="83">
        <v>2039</v>
      </c>
      <c r="C26" s="80">
        <f t="shared" si="3"/>
        <v>3509.2900748425059</v>
      </c>
      <c r="D26" s="131">
        <v>3000</v>
      </c>
      <c r="E26" s="132">
        <v>2500</v>
      </c>
      <c r="F26" s="132">
        <v>4000</v>
      </c>
      <c r="G26" s="133">
        <v>0.2</v>
      </c>
      <c r="H26" s="134">
        <v>0.4</v>
      </c>
      <c r="I26" s="135">
        <v>0.18</v>
      </c>
      <c r="J26" s="79">
        <v>0</v>
      </c>
      <c r="K26" s="73">
        <f t="shared" si="1"/>
        <v>1900</v>
      </c>
      <c r="L26" s="80">
        <f t="shared" si="0"/>
        <v>1609.2900748425059</v>
      </c>
      <c r="M26" s="81">
        <f t="shared" si="2"/>
        <v>1049.672213471651</v>
      </c>
    </row>
    <row r="27" spans="2:26" ht="12" customHeight="1" x14ac:dyDescent="0.2">
      <c r="B27" s="83">
        <v>2040</v>
      </c>
      <c r="C27" s="80">
        <f t="shared" si="3"/>
        <v>3488.2343343934508</v>
      </c>
      <c r="D27" s="131">
        <v>3000</v>
      </c>
      <c r="E27" s="132">
        <v>2500</v>
      </c>
      <c r="F27" s="132">
        <v>4000</v>
      </c>
      <c r="G27" s="133">
        <v>0.2</v>
      </c>
      <c r="H27" s="134">
        <v>0.4</v>
      </c>
      <c r="I27" s="135">
        <v>0.15</v>
      </c>
      <c r="J27" s="79">
        <v>0</v>
      </c>
      <c r="K27" s="73">
        <f t="shared" si="1"/>
        <v>1900</v>
      </c>
      <c r="L27" s="80">
        <f t="shared" si="0"/>
        <v>1588.2343343934508</v>
      </c>
      <c r="M27" s="81">
        <f t="shared" si="2"/>
        <v>998.23515015901762</v>
      </c>
    </row>
    <row r="28" spans="2:26" ht="12" customHeight="1" x14ac:dyDescent="0.2">
      <c r="B28" s="83">
        <v>2041</v>
      </c>
      <c r="C28" s="80">
        <f t="shared" si="3"/>
        <v>3467.3049283870901</v>
      </c>
      <c r="D28" s="131">
        <v>3000</v>
      </c>
      <c r="E28" s="132">
        <v>2500</v>
      </c>
      <c r="F28" s="132">
        <v>4000</v>
      </c>
      <c r="G28" s="133">
        <v>0.2</v>
      </c>
      <c r="H28" s="134">
        <v>0.4</v>
      </c>
      <c r="I28" s="135">
        <v>0.15</v>
      </c>
      <c r="J28" s="79">
        <v>0</v>
      </c>
      <c r="K28" s="73">
        <f t="shared" si="1"/>
        <v>1900</v>
      </c>
      <c r="L28" s="80">
        <f t="shared" si="0"/>
        <v>1567.3049283870901</v>
      </c>
      <c r="M28" s="81">
        <f t="shared" si="2"/>
        <v>995.09573925806353</v>
      </c>
    </row>
    <row r="29" spans="2:26" ht="12" customHeight="1" thickBot="1" x14ac:dyDescent="0.25">
      <c r="B29" s="83">
        <v>2042</v>
      </c>
      <c r="C29" s="80">
        <f t="shared" si="3"/>
        <v>3446.5010988167674</v>
      </c>
      <c r="D29" s="136">
        <v>3000</v>
      </c>
      <c r="E29" s="137">
        <v>2500</v>
      </c>
      <c r="F29" s="137">
        <v>4000</v>
      </c>
      <c r="G29" s="138">
        <v>0.2</v>
      </c>
      <c r="H29" s="139">
        <v>0.4</v>
      </c>
      <c r="I29" s="140">
        <v>0.15</v>
      </c>
      <c r="J29" s="79">
        <v>0</v>
      </c>
      <c r="K29" s="73">
        <f t="shared" si="1"/>
        <v>1900</v>
      </c>
      <c r="L29" s="80">
        <f t="shared" si="0"/>
        <v>1546.5010988167674</v>
      </c>
      <c r="M29" s="81">
        <f t="shared" si="2"/>
        <v>991.97516482251513</v>
      </c>
    </row>
    <row r="30" spans="2:26" ht="13.5" thickBo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>
        <f>SUM(M10:M29)</f>
        <v>22269.080276258806</v>
      </c>
    </row>
    <row r="31" spans="2:26" ht="10.9" customHeight="1" x14ac:dyDescent="0.2">
      <c r="B31" s="73"/>
      <c r="C31" s="73"/>
      <c r="D31" s="73"/>
      <c r="E31" s="73"/>
      <c r="F31" s="74"/>
      <c r="G31" s="73"/>
      <c r="H31" s="73"/>
      <c r="I31" s="73"/>
      <c r="J31" s="73"/>
      <c r="K31" s="73"/>
    </row>
    <row r="32" spans="2:26" x14ac:dyDescent="0.2">
      <c r="B32" s="73"/>
      <c r="C32" s="73"/>
      <c r="D32" s="73"/>
      <c r="E32" s="73"/>
      <c r="F32" s="74"/>
      <c r="G32" s="73"/>
      <c r="H32" s="73"/>
      <c r="I32" s="73"/>
      <c r="J32" s="73"/>
      <c r="K32" s="73"/>
    </row>
    <row r="34" spans="3:15" x14ac:dyDescent="0.2"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</row>
    <row r="35" spans="3:15" x14ac:dyDescent="0.2"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3:15" ht="15" customHeight="1" x14ac:dyDescent="0.2">
      <c r="C36" s="77"/>
      <c r="D36" s="78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3:15" x14ac:dyDescent="0.2">
      <c r="C37" s="77"/>
      <c r="D37" s="78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3:15" x14ac:dyDescent="0.2">
      <c r="C38" s="77"/>
      <c r="D38" s="78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3:15" x14ac:dyDescent="0.2">
      <c r="C39" s="77"/>
      <c r="D39" s="78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3:15" x14ac:dyDescent="0.2">
      <c r="C40" s="77"/>
      <c r="D40" s="78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3:15" x14ac:dyDescent="0.2">
      <c r="C41" s="77"/>
      <c r="D41" s="78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3:15" x14ac:dyDescent="0.2">
      <c r="C42" s="77"/>
      <c r="D42" s="78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3:15" x14ac:dyDescent="0.2">
      <c r="C43" s="77"/>
      <c r="D43" s="78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3:15" x14ac:dyDescent="0.2">
      <c r="C44" s="77"/>
      <c r="D44" s="78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3:15" x14ac:dyDescent="0.2">
      <c r="C45" s="77"/>
      <c r="D45" s="78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</sheetData>
  <sheetProtection algorithmName="SHA-512" hashValue="+ZYcsWSpvJQpl0+IJJkHo7ItstomDZZNSVC3YrWo+1lJmN+j8f85aEnAkbvsIEney3GDFd+LztPRoN3vC9Ob4Q==" saltValue="BrzfaVlJQWMheUpj55YdDQ==" spinCount="100000" sheet="1" objects="1" scenarios="1"/>
  <mergeCells count="4">
    <mergeCell ref="M2:N2"/>
    <mergeCell ref="E7:F7"/>
    <mergeCell ref="M3:N3"/>
    <mergeCell ref="E34:O34"/>
  </mergeCells>
  <conditionalFormatting sqref="E36:O4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BC1F-2D23-4C9C-8C9D-AEA51AB95B78}">
  <dimension ref="B1:Z45"/>
  <sheetViews>
    <sheetView showGridLines="0" workbookViewId="0">
      <selection activeCell="J18" sqref="J18"/>
    </sheetView>
  </sheetViews>
  <sheetFormatPr defaultColWidth="9" defaultRowHeight="12.75" x14ac:dyDescent="0.2"/>
  <cols>
    <col min="1" max="1" width="2.44140625" style="69" customWidth="1"/>
    <col min="2" max="5" width="11" style="69" customWidth="1"/>
    <col min="6" max="6" width="14" style="69" customWidth="1"/>
    <col min="7" max="7" width="11" style="69" customWidth="1"/>
    <col min="8" max="8" width="14" style="69" customWidth="1"/>
    <col min="9" max="10" width="10.33203125" style="69" bestFit="1" customWidth="1"/>
    <col min="11" max="11" width="11" style="69" customWidth="1"/>
    <col min="12" max="12" width="10.33203125" style="69" bestFit="1" customWidth="1"/>
    <col min="13" max="13" width="12.44140625" style="69" bestFit="1" customWidth="1"/>
    <col min="14" max="14" width="16.88671875" style="69" customWidth="1"/>
    <col min="15" max="15" width="10.33203125" style="69" bestFit="1" customWidth="1"/>
    <col min="16" max="16" width="9" style="69"/>
    <col min="17" max="17" width="53.33203125" style="69" bestFit="1" customWidth="1"/>
    <col min="18" max="18" width="57" style="69" bestFit="1" customWidth="1"/>
    <col min="19" max="24" width="9" style="69"/>
    <col min="25" max="25" width="9" style="69" bestFit="1" customWidth="1"/>
    <col min="26" max="16384" width="9" style="69"/>
  </cols>
  <sheetData>
    <row r="1" spans="2:26" ht="13.5" thickBot="1" x14ac:dyDescent="0.25"/>
    <row r="2" spans="2:26" x14ac:dyDescent="0.2">
      <c r="B2" s="84" t="s">
        <v>52</v>
      </c>
      <c r="C2" s="85" t="s">
        <v>53</v>
      </c>
      <c r="D2" s="85" t="s">
        <v>54</v>
      </c>
      <c r="E2" s="85" t="s">
        <v>55</v>
      </c>
      <c r="F2" s="85" t="s">
        <v>56</v>
      </c>
      <c r="G2" s="86" t="s">
        <v>57</v>
      </c>
      <c r="H2" s="87" t="s">
        <v>58</v>
      </c>
      <c r="I2" s="73"/>
      <c r="J2" s="73"/>
      <c r="K2" s="73"/>
      <c r="L2" s="73" t="s">
        <v>59</v>
      </c>
      <c r="M2" s="260" t="s">
        <v>60</v>
      </c>
      <c r="N2" s="260"/>
    </row>
    <row r="3" spans="2:26" ht="11.45" customHeight="1" thickBot="1" x14ac:dyDescent="0.25">
      <c r="B3" s="88"/>
      <c r="C3" s="89"/>
      <c r="D3" s="89" t="s">
        <v>61</v>
      </c>
      <c r="E3" s="89" t="s">
        <v>62</v>
      </c>
      <c r="F3" s="89" t="s">
        <v>61</v>
      </c>
      <c r="G3" s="89" t="s">
        <v>63</v>
      </c>
      <c r="H3" s="90" t="s">
        <v>64</v>
      </c>
      <c r="I3" s="73"/>
      <c r="J3" s="73"/>
      <c r="K3" s="73"/>
      <c r="L3" s="91" t="s">
        <v>65</v>
      </c>
      <c r="M3" s="263" t="s">
        <v>66</v>
      </c>
      <c r="N3" s="263"/>
    </row>
    <row r="4" spans="2:26" ht="13.5" thickBot="1" x14ac:dyDescent="0.25">
      <c r="B4" s="92">
        <f>'Optie Offerte Micro icm Enphas'!G26</f>
        <v>4660.83</v>
      </c>
      <c r="C4" s="93">
        <f>M30</f>
        <v>20911.12785492633</v>
      </c>
      <c r="D4" s="93">
        <f>C4/20</f>
        <v>1045.5563927463165</v>
      </c>
      <c r="E4" s="94">
        <f>B4/20</f>
        <v>233.04149999999998</v>
      </c>
      <c r="F4" s="94">
        <f>D4-E4</f>
        <v>812.51489274631649</v>
      </c>
      <c r="G4" s="95">
        <f>((B4+F4)-B4)/B4</f>
        <v>0.17432836914161556</v>
      </c>
      <c r="H4" s="96">
        <f>B4/D4</f>
        <v>4.4577509470891421</v>
      </c>
      <c r="I4" s="73"/>
      <c r="J4" s="73"/>
      <c r="K4" s="73"/>
      <c r="L4" s="73"/>
      <c r="M4" s="73"/>
    </row>
    <row r="5" spans="2:26" x14ac:dyDescent="0.2">
      <c r="B5" s="73"/>
      <c r="C5" s="73"/>
      <c r="D5" s="73"/>
      <c r="E5" s="73"/>
      <c r="F5" s="74"/>
      <c r="G5" s="73"/>
      <c r="H5" s="73"/>
      <c r="I5" s="73"/>
      <c r="J5" s="73"/>
      <c r="K5" s="73"/>
    </row>
    <row r="7" spans="2:26" ht="13.5" thickBot="1" x14ac:dyDescent="0.25">
      <c r="B7" s="97"/>
      <c r="C7" s="98"/>
      <c r="D7" s="98"/>
      <c r="E7" s="261" t="s">
        <v>67</v>
      </c>
      <c r="F7" s="262"/>
      <c r="G7" s="98"/>
      <c r="H7" s="98"/>
      <c r="I7" s="98"/>
      <c r="J7" s="98"/>
      <c r="K7" s="98"/>
      <c r="L7" s="98"/>
      <c r="M7" s="99"/>
    </row>
    <row r="8" spans="2:26" ht="26.25" thickBot="1" x14ac:dyDescent="0.25">
      <c r="B8" s="100" t="s">
        <v>68</v>
      </c>
      <c r="C8" s="101" t="s">
        <v>69</v>
      </c>
      <c r="D8" s="101" t="s">
        <v>70</v>
      </c>
      <c r="E8" s="100" t="s">
        <v>71</v>
      </c>
      <c r="F8" s="102" t="s">
        <v>72</v>
      </c>
      <c r="G8" s="101" t="s">
        <v>73</v>
      </c>
      <c r="H8" s="101" t="s">
        <v>74</v>
      </c>
      <c r="I8" s="101" t="s">
        <v>75</v>
      </c>
      <c r="J8" s="101" t="s">
        <v>76</v>
      </c>
      <c r="K8" s="101" t="s">
        <v>77</v>
      </c>
      <c r="L8" s="101" t="s">
        <v>78</v>
      </c>
      <c r="M8" s="103" t="s">
        <v>197</v>
      </c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2:26" ht="13.5" thickBot="1" x14ac:dyDescent="0.25">
      <c r="B9" s="105"/>
      <c r="C9" s="106" t="s">
        <v>79</v>
      </c>
      <c r="D9" s="106" t="s">
        <v>79</v>
      </c>
      <c r="E9" s="106" t="s">
        <v>79</v>
      </c>
      <c r="F9" s="106" t="s">
        <v>79</v>
      </c>
      <c r="G9" s="106" t="s">
        <v>80</v>
      </c>
      <c r="H9" s="106" t="s">
        <v>81</v>
      </c>
      <c r="I9" s="106" t="s">
        <v>81</v>
      </c>
      <c r="J9" s="106" t="s">
        <v>80</v>
      </c>
      <c r="K9" s="106" t="s">
        <v>79</v>
      </c>
      <c r="L9" s="106" t="s">
        <v>79</v>
      </c>
      <c r="M9" s="107" t="s">
        <v>81</v>
      </c>
    </row>
    <row r="10" spans="2:26" ht="12" customHeight="1" x14ac:dyDescent="0.2">
      <c r="B10" s="83">
        <v>2023</v>
      </c>
      <c r="C10" s="80">
        <f>'Optie Offerte Micro icm Enphas'!E15</f>
        <v>3444</v>
      </c>
      <c r="D10" s="126">
        <v>3000</v>
      </c>
      <c r="E10" s="127"/>
      <c r="F10" s="127"/>
      <c r="G10" s="128">
        <v>0.25</v>
      </c>
      <c r="H10" s="129">
        <v>0.4</v>
      </c>
      <c r="I10" s="130">
        <v>0.3</v>
      </c>
      <c r="J10" s="79">
        <v>1</v>
      </c>
      <c r="K10" s="73">
        <f>(D10+E10+F10)*G10+((D10+E10+F10)*(1-G10)*J10)</f>
        <v>3000</v>
      </c>
      <c r="L10" s="80">
        <f t="shared" ref="L10:L29" si="0">C10-K10</f>
        <v>444</v>
      </c>
      <c r="M10" s="81">
        <f>K10*H10+L10*I10</f>
        <v>1333.2</v>
      </c>
      <c r="R10" s="82"/>
      <c r="T10" s="78"/>
      <c r="U10" s="76"/>
      <c r="V10" s="76"/>
      <c r="W10" s="78"/>
      <c r="Y10" s="82"/>
      <c r="Z10" s="76"/>
    </row>
    <row r="11" spans="2:26" ht="12" customHeight="1" x14ac:dyDescent="0.2">
      <c r="B11" s="83">
        <v>2024</v>
      </c>
      <c r="C11" s="80">
        <f>C10*0.994</f>
        <v>3423.3359999999998</v>
      </c>
      <c r="D11" s="131">
        <v>3000</v>
      </c>
      <c r="E11" s="132"/>
      <c r="F11" s="132"/>
      <c r="G11" s="133">
        <v>0.25</v>
      </c>
      <c r="H11" s="134">
        <v>0.4</v>
      </c>
      <c r="I11" s="135">
        <v>0.3</v>
      </c>
      <c r="J11" s="79">
        <v>1</v>
      </c>
      <c r="K11" s="73">
        <f t="shared" ref="K11:K29" si="1">(D11+E11+F11)*G11+((D11+E11+F11)*(1-G11)*J11)</f>
        <v>3000</v>
      </c>
      <c r="L11" s="80">
        <f t="shared" si="0"/>
        <v>423.33599999999979</v>
      </c>
      <c r="M11" s="81">
        <f t="shared" ref="M11:M29" si="2">K11*H11+L11*I11</f>
        <v>1327.0008</v>
      </c>
      <c r="R11" s="82"/>
      <c r="T11" s="78"/>
      <c r="U11" s="76"/>
      <c r="V11" s="76"/>
      <c r="W11" s="78"/>
      <c r="Y11" s="82"/>
      <c r="Z11" s="76"/>
    </row>
    <row r="12" spans="2:26" ht="12" customHeight="1" x14ac:dyDescent="0.2">
      <c r="B12" s="83">
        <v>2025</v>
      </c>
      <c r="C12" s="80">
        <f t="shared" ref="C12:C29" si="3">C11*0.994</f>
        <v>3402.7959839999999</v>
      </c>
      <c r="D12" s="131">
        <v>3000</v>
      </c>
      <c r="E12" s="132"/>
      <c r="F12" s="132"/>
      <c r="G12" s="133">
        <v>0.25</v>
      </c>
      <c r="H12" s="134">
        <v>0.4</v>
      </c>
      <c r="I12" s="135">
        <v>0.1</v>
      </c>
      <c r="J12" s="79">
        <v>0.64</v>
      </c>
      <c r="K12" s="73">
        <f t="shared" si="1"/>
        <v>2190</v>
      </c>
      <c r="L12" s="80">
        <f t="shared" si="0"/>
        <v>1212.7959839999999</v>
      </c>
      <c r="M12" s="81">
        <f t="shared" si="2"/>
        <v>997.27959839999994</v>
      </c>
      <c r="R12" s="82"/>
      <c r="T12" s="78"/>
      <c r="U12" s="76"/>
      <c r="V12" s="76"/>
      <c r="W12" s="78"/>
      <c r="Y12" s="82"/>
      <c r="Z12" s="76"/>
    </row>
    <row r="13" spans="2:26" ht="12" customHeight="1" x14ac:dyDescent="0.2">
      <c r="B13" s="83">
        <v>2026</v>
      </c>
      <c r="C13" s="80">
        <f t="shared" si="3"/>
        <v>3382.3792080959997</v>
      </c>
      <c r="D13" s="131">
        <v>3000</v>
      </c>
      <c r="E13" s="132">
        <v>2500</v>
      </c>
      <c r="F13" s="132"/>
      <c r="G13" s="133">
        <v>0.22</v>
      </c>
      <c r="H13" s="134">
        <v>0.4</v>
      </c>
      <c r="I13" s="135">
        <v>0.15</v>
      </c>
      <c r="J13" s="79">
        <v>0.64</v>
      </c>
      <c r="K13" s="73">
        <f t="shared" si="1"/>
        <v>3955.6</v>
      </c>
      <c r="L13" s="80">
        <f t="shared" si="0"/>
        <v>-573.22079190400018</v>
      </c>
      <c r="M13" s="81">
        <f t="shared" si="2"/>
        <v>1496.2568812144</v>
      </c>
      <c r="R13" s="82"/>
      <c r="T13" s="78"/>
      <c r="U13" s="76"/>
      <c r="V13" s="76"/>
      <c r="W13" s="78"/>
      <c r="Y13" s="82"/>
      <c r="Z13" s="76"/>
    </row>
    <row r="14" spans="2:26" ht="12" customHeight="1" x14ac:dyDescent="0.2">
      <c r="B14" s="83">
        <v>2027</v>
      </c>
      <c r="C14" s="80">
        <f t="shared" si="3"/>
        <v>3362.0849328474237</v>
      </c>
      <c r="D14" s="131">
        <v>3000</v>
      </c>
      <c r="E14" s="132">
        <v>2500</v>
      </c>
      <c r="F14" s="132"/>
      <c r="G14" s="133">
        <v>0.22</v>
      </c>
      <c r="H14" s="134">
        <v>0.4</v>
      </c>
      <c r="I14" s="135">
        <v>0.15</v>
      </c>
      <c r="J14" s="79">
        <v>0.55000000000000004</v>
      </c>
      <c r="K14" s="73">
        <f t="shared" si="1"/>
        <v>3569.5</v>
      </c>
      <c r="L14" s="80">
        <f t="shared" si="0"/>
        <v>-207.41506715257628</v>
      </c>
      <c r="M14" s="81">
        <f t="shared" si="2"/>
        <v>1396.6877399271139</v>
      </c>
      <c r="R14" s="82"/>
      <c r="T14" s="78"/>
      <c r="U14" s="76"/>
      <c r="V14" s="76"/>
      <c r="W14" s="78"/>
      <c r="X14" s="82"/>
      <c r="Y14" s="82"/>
      <c r="Z14" s="76"/>
    </row>
    <row r="15" spans="2:26" ht="12" customHeight="1" x14ac:dyDescent="0.2">
      <c r="B15" s="83">
        <v>2028</v>
      </c>
      <c r="C15" s="80">
        <f t="shared" si="3"/>
        <v>3341.9124232503391</v>
      </c>
      <c r="D15" s="131">
        <v>3000</v>
      </c>
      <c r="E15" s="132">
        <v>2500</v>
      </c>
      <c r="F15" s="132"/>
      <c r="G15" s="133">
        <v>0.22</v>
      </c>
      <c r="H15" s="134">
        <v>0.4</v>
      </c>
      <c r="I15" s="135">
        <v>0.13</v>
      </c>
      <c r="J15" s="79">
        <v>0.46</v>
      </c>
      <c r="K15" s="73">
        <f t="shared" si="1"/>
        <v>3183.4</v>
      </c>
      <c r="L15" s="80">
        <f t="shared" si="0"/>
        <v>158.512423250339</v>
      </c>
      <c r="M15" s="81">
        <f t="shared" si="2"/>
        <v>1293.9666150225441</v>
      </c>
      <c r="R15" s="82"/>
      <c r="T15" s="78"/>
      <c r="U15" s="76"/>
      <c r="V15" s="76"/>
      <c r="W15" s="78"/>
      <c r="X15" s="82"/>
      <c r="Y15" s="82"/>
      <c r="Z15" s="76"/>
    </row>
    <row r="16" spans="2:26" ht="12" customHeight="1" x14ac:dyDescent="0.2">
      <c r="B16" s="83">
        <v>2029</v>
      </c>
      <c r="C16" s="80">
        <f t="shared" si="3"/>
        <v>3321.860948710837</v>
      </c>
      <c r="D16" s="131">
        <v>3000</v>
      </c>
      <c r="E16" s="132">
        <v>2500</v>
      </c>
      <c r="F16" s="132"/>
      <c r="G16" s="133">
        <v>0.22</v>
      </c>
      <c r="H16" s="134">
        <v>0.4</v>
      </c>
      <c r="I16" s="135">
        <v>0.15</v>
      </c>
      <c r="J16" s="79">
        <v>0.37</v>
      </c>
      <c r="K16" s="73">
        <f t="shared" si="1"/>
        <v>2797.3</v>
      </c>
      <c r="L16" s="80">
        <f t="shared" si="0"/>
        <v>524.56094871083678</v>
      </c>
      <c r="M16" s="81">
        <f t="shared" si="2"/>
        <v>1197.6041423066256</v>
      </c>
      <c r="R16" s="82"/>
      <c r="T16" s="78"/>
      <c r="U16" s="76"/>
      <c r="V16" s="76"/>
      <c r="W16" s="78"/>
      <c r="X16" s="82"/>
      <c r="Y16" s="82"/>
      <c r="Z16" s="76"/>
    </row>
    <row r="17" spans="2:26" ht="12" customHeight="1" x14ac:dyDescent="0.2">
      <c r="B17" s="83">
        <v>2030</v>
      </c>
      <c r="C17" s="80">
        <f t="shared" si="3"/>
        <v>3301.9297830185719</v>
      </c>
      <c r="D17" s="131">
        <v>3000</v>
      </c>
      <c r="E17" s="132">
        <v>2500</v>
      </c>
      <c r="F17" s="132"/>
      <c r="G17" s="133">
        <v>0.22</v>
      </c>
      <c r="H17" s="134">
        <v>0.4</v>
      </c>
      <c r="I17" s="135">
        <v>0.15</v>
      </c>
      <c r="J17" s="79">
        <v>0.28000000000000003</v>
      </c>
      <c r="K17" s="73">
        <f t="shared" si="1"/>
        <v>2411.1999999999998</v>
      </c>
      <c r="L17" s="80">
        <f t="shared" si="0"/>
        <v>890.72978301857211</v>
      </c>
      <c r="M17" s="81">
        <f t="shared" si="2"/>
        <v>1098.0894674527858</v>
      </c>
      <c r="R17" s="82"/>
      <c r="T17" s="78"/>
      <c r="U17" s="76"/>
      <c r="V17" s="76"/>
      <c r="W17" s="78"/>
      <c r="Y17" s="82"/>
      <c r="Z17" s="76"/>
    </row>
    <row r="18" spans="2:26" ht="12" customHeight="1" x14ac:dyDescent="0.2">
      <c r="B18" s="83">
        <v>2031</v>
      </c>
      <c r="C18" s="80">
        <f t="shared" si="3"/>
        <v>3282.1182043204603</v>
      </c>
      <c r="D18" s="131">
        <v>3000</v>
      </c>
      <c r="E18" s="132">
        <v>2500</v>
      </c>
      <c r="F18" s="132"/>
      <c r="G18" s="133">
        <v>0.22</v>
      </c>
      <c r="H18" s="134">
        <v>0.4</v>
      </c>
      <c r="I18" s="135">
        <v>0.15</v>
      </c>
      <c r="J18" s="79">
        <v>0</v>
      </c>
      <c r="K18" s="73">
        <f t="shared" si="1"/>
        <v>1210</v>
      </c>
      <c r="L18" s="80">
        <f t="shared" si="0"/>
        <v>2072.1182043204603</v>
      </c>
      <c r="M18" s="81">
        <f t="shared" si="2"/>
        <v>794.81773064806907</v>
      </c>
      <c r="R18" s="82"/>
      <c r="T18" s="78"/>
      <c r="U18" s="76"/>
      <c r="V18" s="76"/>
      <c r="W18" s="78"/>
      <c r="Y18" s="82"/>
      <c r="Z18" s="76"/>
    </row>
    <row r="19" spans="2:26" ht="12" customHeight="1" x14ac:dyDescent="0.2">
      <c r="B19" s="83">
        <v>2032</v>
      </c>
      <c r="C19" s="80">
        <f t="shared" si="3"/>
        <v>3262.4254950945374</v>
      </c>
      <c r="D19" s="131">
        <v>3000</v>
      </c>
      <c r="E19" s="132">
        <v>2500</v>
      </c>
      <c r="F19" s="132"/>
      <c r="G19" s="133">
        <v>0.22</v>
      </c>
      <c r="H19" s="134">
        <v>0.4</v>
      </c>
      <c r="I19" s="135">
        <v>0.2</v>
      </c>
      <c r="J19" s="79">
        <v>0</v>
      </c>
      <c r="K19" s="73">
        <f t="shared" si="1"/>
        <v>1210</v>
      </c>
      <c r="L19" s="80">
        <f t="shared" si="0"/>
        <v>2052.4254950945374</v>
      </c>
      <c r="M19" s="81">
        <f t="shared" si="2"/>
        <v>894.48509901890748</v>
      </c>
    </row>
    <row r="20" spans="2:26" ht="12" customHeight="1" x14ac:dyDescent="0.2">
      <c r="B20" s="83">
        <v>2033</v>
      </c>
      <c r="C20" s="80">
        <f t="shared" si="3"/>
        <v>3242.8509421239701</v>
      </c>
      <c r="D20" s="131">
        <v>3000</v>
      </c>
      <c r="E20" s="132">
        <v>2500</v>
      </c>
      <c r="F20" s="132"/>
      <c r="G20" s="133">
        <v>0.23</v>
      </c>
      <c r="H20" s="134">
        <v>0.4</v>
      </c>
      <c r="I20" s="135">
        <v>0.2</v>
      </c>
      <c r="J20" s="79">
        <v>0</v>
      </c>
      <c r="K20" s="73">
        <f t="shared" si="1"/>
        <v>1265</v>
      </c>
      <c r="L20" s="80">
        <f t="shared" si="0"/>
        <v>1977.8509421239701</v>
      </c>
      <c r="M20" s="81">
        <f t="shared" si="2"/>
        <v>901.57018842479397</v>
      </c>
    </row>
    <row r="21" spans="2:26" ht="12" customHeight="1" x14ac:dyDescent="0.2">
      <c r="B21" s="83">
        <v>2034</v>
      </c>
      <c r="C21" s="80">
        <f t="shared" si="3"/>
        <v>3223.3938364712262</v>
      </c>
      <c r="D21" s="131">
        <v>3000</v>
      </c>
      <c r="E21" s="132">
        <v>2500</v>
      </c>
      <c r="F21" s="132"/>
      <c r="G21" s="133">
        <v>0.23</v>
      </c>
      <c r="H21" s="134">
        <v>0.4</v>
      </c>
      <c r="I21" s="135">
        <v>0.15</v>
      </c>
      <c r="J21" s="79">
        <v>0</v>
      </c>
      <c r="K21" s="73">
        <f t="shared" si="1"/>
        <v>1265</v>
      </c>
      <c r="L21" s="80">
        <f t="shared" si="0"/>
        <v>1958.3938364712262</v>
      </c>
      <c r="M21" s="81">
        <f t="shared" si="2"/>
        <v>799.75907547068391</v>
      </c>
    </row>
    <row r="22" spans="2:26" ht="12" customHeight="1" x14ac:dyDescent="0.2">
      <c r="B22" s="83">
        <v>2035</v>
      </c>
      <c r="C22" s="80">
        <f t="shared" si="3"/>
        <v>3204.053473452399</v>
      </c>
      <c r="D22" s="131">
        <v>3000</v>
      </c>
      <c r="E22" s="132">
        <v>2500</v>
      </c>
      <c r="F22" s="132"/>
      <c r="G22" s="133">
        <v>0.23</v>
      </c>
      <c r="H22" s="134">
        <v>0.4</v>
      </c>
      <c r="I22" s="135">
        <v>0.15</v>
      </c>
      <c r="J22" s="79">
        <v>0</v>
      </c>
      <c r="K22" s="73">
        <f t="shared" si="1"/>
        <v>1265</v>
      </c>
      <c r="L22" s="80">
        <f t="shared" si="0"/>
        <v>1939.053473452399</v>
      </c>
      <c r="M22" s="81">
        <f t="shared" si="2"/>
        <v>796.85802101785976</v>
      </c>
    </row>
    <row r="23" spans="2:26" ht="12" customHeight="1" x14ac:dyDescent="0.2">
      <c r="B23" s="83">
        <v>2036</v>
      </c>
      <c r="C23" s="80">
        <f t="shared" si="3"/>
        <v>3184.8291526116845</v>
      </c>
      <c r="D23" s="131">
        <v>3000</v>
      </c>
      <c r="E23" s="132">
        <v>2500</v>
      </c>
      <c r="F23" s="132"/>
      <c r="G23" s="133">
        <v>0.23</v>
      </c>
      <c r="H23" s="134">
        <v>0.4</v>
      </c>
      <c r="I23" s="135">
        <v>0.2</v>
      </c>
      <c r="J23" s="79">
        <v>0</v>
      </c>
      <c r="K23" s="73">
        <f t="shared" si="1"/>
        <v>1265</v>
      </c>
      <c r="L23" s="80">
        <f t="shared" si="0"/>
        <v>1919.8291526116845</v>
      </c>
      <c r="M23" s="81">
        <f t="shared" si="2"/>
        <v>889.965830522337</v>
      </c>
    </row>
    <row r="24" spans="2:26" ht="12" customHeight="1" x14ac:dyDescent="0.2">
      <c r="B24" s="83">
        <v>2037</v>
      </c>
      <c r="C24" s="80">
        <f t="shared" si="3"/>
        <v>3165.7201776960146</v>
      </c>
      <c r="D24" s="131">
        <v>3000</v>
      </c>
      <c r="E24" s="132">
        <v>2500</v>
      </c>
      <c r="F24" s="132">
        <v>4000</v>
      </c>
      <c r="G24" s="133">
        <v>0.2</v>
      </c>
      <c r="H24" s="134">
        <v>0.4</v>
      </c>
      <c r="I24" s="135">
        <v>0.15</v>
      </c>
      <c r="J24" s="79">
        <v>0</v>
      </c>
      <c r="K24" s="73">
        <f t="shared" si="1"/>
        <v>1900</v>
      </c>
      <c r="L24" s="80">
        <f t="shared" si="0"/>
        <v>1265.7201776960146</v>
      </c>
      <c r="M24" s="81">
        <f t="shared" si="2"/>
        <v>949.85802665440224</v>
      </c>
    </row>
    <row r="25" spans="2:26" ht="12" customHeight="1" x14ac:dyDescent="0.2">
      <c r="B25" s="83">
        <v>2038</v>
      </c>
      <c r="C25" s="80">
        <f t="shared" si="3"/>
        <v>3146.7258566298383</v>
      </c>
      <c r="D25" s="131">
        <v>3000</v>
      </c>
      <c r="E25" s="132">
        <v>2500</v>
      </c>
      <c r="F25" s="132">
        <v>4000</v>
      </c>
      <c r="G25" s="133">
        <v>0.2</v>
      </c>
      <c r="H25" s="134">
        <v>0.4</v>
      </c>
      <c r="I25" s="135">
        <v>0.15</v>
      </c>
      <c r="J25" s="79">
        <v>0</v>
      </c>
      <c r="K25" s="73">
        <f t="shared" si="1"/>
        <v>1900</v>
      </c>
      <c r="L25" s="80">
        <f t="shared" si="0"/>
        <v>1246.7258566298383</v>
      </c>
      <c r="M25" s="81">
        <f t="shared" si="2"/>
        <v>947.00887849447577</v>
      </c>
    </row>
    <row r="26" spans="2:26" ht="12" customHeight="1" x14ac:dyDescent="0.2">
      <c r="B26" s="83">
        <v>2039</v>
      </c>
      <c r="C26" s="80">
        <f t="shared" si="3"/>
        <v>3127.8455014900592</v>
      </c>
      <c r="D26" s="131">
        <v>3000</v>
      </c>
      <c r="E26" s="132">
        <v>2500</v>
      </c>
      <c r="F26" s="132">
        <v>4000</v>
      </c>
      <c r="G26" s="133">
        <v>0.2</v>
      </c>
      <c r="H26" s="134">
        <v>0.4</v>
      </c>
      <c r="I26" s="135">
        <v>0.18</v>
      </c>
      <c r="J26" s="79">
        <v>0</v>
      </c>
      <c r="K26" s="73">
        <f t="shared" si="1"/>
        <v>1900</v>
      </c>
      <c r="L26" s="80">
        <f t="shared" si="0"/>
        <v>1227.8455014900592</v>
      </c>
      <c r="M26" s="81">
        <f t="shared" si="2"/>
        <v>981.01219026821059</v>
      </c>
    </row>
    <row r="27" spans="2:26" ht="12" customHeight="1" x14ac:dyDescent="0.2">
      <c r="B27" s="83">
        <v>2040</v>
      </c>
      <c r="C27" s="80">
        <f t="shared" si="3"/>
        <v>3109.0784284811189</v>
      </c>
      <c r="D27" s="131">
        <v>3000</v>
      </c>
      <c r="E27" s="132">
        <v>2500</v>
      </c>
      <c r="F27" s="132">
        <v>4000</v>
      </c>
      <c r="G27" s="133">
        <v>0.2</v>
      </c>
      <c r="H27" s="134">
        <v>0.4</v>
      </c>
      <c r="I27" s="135">
        <v>0.15</v>
      </c>
      <c r="J27" s="79">
        <v>0</v>
      </c>
      <c r="K27" s="73">
        <f t="shared" si="1"/>
        <v>1900</v>
      </c>
      <c r="L27" s="80">
        <f t="shared" si="0"/>
        <v>1209.0784284811189</v>
      </c>
      <c r="M27" s="81">
        <f t="shared" si="2"/>
        <v>941.36176427216787</v>
      </c>
    </row>
    <row r="28" spans="2:26" ht="12" customHeight="1" x14ac:dyDescent="0.2">
      <c r="B28" s="83">
        <v>2041</v>
      </c>
      <c r="C28" s="80">
        <f t="shared" si="3"/>
        <v>3090.4239579102323</v>
      </c>
      <c r="D28" s="131">
        <v>3000</v>
      </c>
      <c r="E28" s="132">
        <v>2500</v>
      </c>
      <c r="F28" s="132">
        <v>4000</v>
      </c>
      <c r="G28" s="133">
        <v>0.2</v>
      </c>
      <c r="H28" s="134">
        <v>0.4</v>
      </c>
      <c r="I28" s="135">
        <v>0.15</v>
      </c>
      <c r="J28" s="79">
        <v>0</v>
      </c>
      <c r="K28" s="73">
        <f t="shared" si="1"/>
        <v>1900</v>
      </c>
      <c r="L28" s="80">
        <f t="shared" si="0"/>
        <v>1190.4239579102323</v>
      </c>
      <c r="M28" s="81">
        <f t="shared" si="2"/>
        <v>938.56359368653489</v>
      </c>
    </row>
    <row r="29" spans="2:26" ht="12" customHeight="1" thickBot="1" x14ac:dyDescent="0.25">
      <c r="B29" s="83">
        <v>2042</v>
      </c>
      <c r="C29" s="80">
        <f t="shared" si="3"/>
        <v>3071.8814141627709</v>
      </c>
      <c r="D29" s="136">
        <v>3000</v>
      </c>
      <c r="E29" s="137">
        <v>2500</v>
      </c>
      <c r="F29" s="137">
        <v>4000</v>
      </c>
      <c r="G29" s="138">
        <v>0.2</v>
      </c>
      <c r="H29" s="139">
        <v>0.4</v>
      </c>
      <c r="I29" s="140">
        <v>0.15</v>
      </c>
      <c r="J29" s="79">
        <v>0</v>
      </c>
      <c r="K29" s="73">
        <f t="shared" si="1"/>
        <v>1900</v>
      </c>
      <c r="L29" s="80">
        <f t="shared" si="0"/>
        <v>1171.8814141627709</v>
      </c>
      <c r="M29" s="81">
        <f t="shared" si="2"/>
        <v>935.78221212441565</v>
      </c>
    </row>
    <row r="30" spans="2:26" ht="13.5" thickBo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>
        <f>SUM(M10:M29)</f>
        <v>20911.12785492633</v>
      </c>
    </row>
    <row r="31" spans="2:26" ht="10.9" customHeight="1" x14ac:dyDescent="0.2">
      <c r="B31" s="73"/>
      <c r="C31" s="73"/>
      <c r="D31" s="73"/>
      <c r="E31" s="73"/>
      <c r="F31" s="74"/>
      <c r="G31" s="73"/>
      <c r="H31" s="73"/>
      <c r="I31" s="73"/>
      <c r="J31" s="73"/>
      <c r="K31" s="73"/>
    </row>
    <row r="32" spans="2:26" x14ac:dyDescent="0.2">
      <c r="B32" s="73"/>
      <c r="C32" s="73"/>
      <c r="D32" s="73"/>
      <c r="E32" s="73"/>
      <c r="F32" s="74"/>
      <c r="G32" s="73"/>
      <c r="H32" s="73"/>
      <c r="I32" s="73"/>
      <c r="J32" s="73"/>
      <c r="K32" s="73"/>
    </row>
    <row r="34" spans="3:15" x14ac:dyDescent="0.2"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</row>
    <row r="35" spans="3:15" x14ac:dyDescent="0.2"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3:15" ht="15" customHeight="1" x14ac:dyDescent="0.2">
      <c r="C36" s="77"/>
      <c r="D36" s="78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3:15" x14ac:dyDescent="0.2">
      <c r="C37" s="77"/>
      <c r="D37" s="78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3:15" x14ac:dyDescent="0.2">
      <c r="C38" s="77"/>
      <c r="D38" s="78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3:15" x14ac:dyDescent="0.2">
      <c r="C39" s="77"/>
      <c r="D39" s="78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3:15" x14ac:dyDescent="0.2">
      <c r="C40" s="77"/>
      <c r="D40" s="78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3:15" x14ac:dyDescent="0.2">
      <c r="C41" s="77"/>
      <c r="D41" s="78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3:15" x14ac:dyDescent="0.2">
      <c r="C42" s="77"/>
      <c r="D42" s="78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3:15" x14ac:dyDescent="0.2">
      <c r="C43" s="77"/>
      <c r="D43" s="78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3:15" x14ac:dyDescent="0.2">
      <c r="C44" s="77"/>
      <c r="D44" s="78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3:15" x14ac:dyDescent="0.2">
      <c r="C45" s="77"/>
      <c r="D45" s="78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</sheetData>
  <sheetProtection algorithmName="SHA-512" hashValue="gpDBmNid7//7W6jBgWtFYnXy5eORKt6SEEZo5k9eXkYYeRpPUEeIDSM82YzmaFkpE9McfjrQ1cpPHuwQd82ZYQ==" saltValue="bNLdNonSSqLsznNqmSYUaQ==" spinCount="100000" sheet="1" objects="1" scenarios="1"/>
  <mergeCells count="4">
    <mergeCell ref="M2:N2"/>
    <mergeCell ref="M3:N3"/>
    <mergeCell ref="E7:F7"/>
    <mergeCell ref="E34:O34"/>
  </mergeCells>
  <conditionalFormatting sqref="E36:O4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24A1-85C9-42C3-BD9F-0A2AD36107B6}">
  <sheetPr codeName="Blad4"/>
  <dimension ref="A1:J93"/>
  <sheetViews>
    <sheetView zoomScale="90" zoomScaleNormal="90" workbookViewId="0">
      <selection activeCell="F16" sqref="F16"/>
    </sheetView>
  </sheetViews>
  <sheetFormatPr defaultColWidth="9" defaultRowHeight="15.75" x14ac:dyDescent="0.3"/>
  <cols>
    <col min="1" max="1" width="42.6640625" customWidth="1"/>
    <col min="2" max="2" width="51" bestFit="1" customWidth="1"/>
    <col min="3" max="3" width="17.88671875" style="222" customWidth="1"/>
  </cols>
  <sheetData>
    <row r="1" spans="1:10" ht="16.5" thickBot="1" x14ac:dyDescent="0.35">
      <c r="A1" s="108" t="s">
        <v>33</v>
      </c>
      <c r="B1" s="1" t="s">
        <v>82</v>
      </c>
      <c r="C1" s="220">
        <v>50</v>
      </c>
      <c r="D1" t="s">
        <v>83</v>
      </c>
      <c r="E1" t="s">
        <v>84</v>
      </c>
      <c r="G1" s="197" t="s">
        <v>191</v>
      </c>
    </row>
    <row r="2" spans="1:10" ht="16.5" thickBot="1" x14ac:dyDescent="0.35">
      <c r="A2" s="2" t="s">
        <v>18</v>
      </c>
      <c r="B2" s="109" t="s">
        <v>85</v>
      </c>
      <c r="C2" s="221">
        <v>70</v>
      </c>
      <c r="G2" s="197"/>
    </row>
    <row r="3" spans="1:10" x14ac:dyDescent="0.3">
      <c r="G3" s="197"/>
    </row>
    <row r="4" spans="1:10" x14ac:dyDescent="0.3">
      <c r="A4" t="s">
        <v>86</v>
      </c>
      <c r="B4" s="110" t="s">
        <v>87</v>
      </c>
      <c r="D4">
        <v>5000</v>
      </c>
      <c r="E4">
        <v>0</v>
      </c>
      <c r="G4" s="197">
        <v>19</v>
      </c>
    </row>
    <row r="5" spans="1:10" x14ac:dyDescent="0.3">
      <c r="A5" t="s">
        <v>88</v>
      </c>
      <c r="B5" s="110" t="s">
        <v>87</v>
      </c>
      <c r="D5">
        <v>5000</v>
      </c>
      <c r="E5">
        <v>0</v>
      </c>
      <c r="G5" s="197">
        <v>15</v>
      </c>
    </row>
    <row r="6" spans="1:10" x14ac:dyDescent="0.3">
      <c r="A6" t="s">
        <v>45</v>
      </c>
      <c r="B6" s="110" t="s">
        <v>89</v>
      </c>
      <c r="D6">
        <v>4200</v>
      </c>
      <c r="E6">
        <v>12000</v>
      </c>
      <c r="G6" s="197">
        <v>12</v>
      </c>
      <c r="H6" s="197">
        <v>36</v>
      </c>
    </row>
    <row r="8" spans="1:10" ht="16.5" thickBot="1" x14ac:dyDescent="0.35"/>
    <row r="9" spans="1:10" x14ac:dyDescent="0.3">
      <c r="A9" s="196"/>
      <c r="B9" s="111"/>
      <c r="C9" s="223"/>
    </row>
    <row r="10" spans="1:10" x14ac:dyDescent="0.3">
      <c r="A10" s="195" t="s">
        <v>207</v>
      </c>
      <c r="B10" s="232" t="s">
        <v>206</v>
      </c>
      <c r="C10" s="224">
        <v>75</v>
      </c>
      <c r="D10">
        <v>400</v>
      </c>
      <c r="J10" s="234"/>
    </row>
    <row r="11" spans="1:10" x14ac:dyDescent="0.3">
      <c r="A11" s="233" t="s">
        <v>204</v>
      </c>
      <c r="B11" s="232" t="s">
        <v>206</v>
      </c>
      <c r="C11" s="224">
        <v>95</v>
      </c>
      <c r="D11">
        <v>420</v>
      </c>
    </row>
    <row r="12" spans="1:10" x14ac:dyDescent="0.3">
      <c r="A12" s="195" t="s">
        <v>203</v>
      </c>
      <c r="B12" s="232" t="s">
        <v>205</v>
      </c>
      <c r="C12" s="224">
        <v>185</v>
      </c>
      <c r="D12">
        <v>450</v>
      </c>
    </row>
    <row r="13" spans="1:10" x14ac:dyDescent="0.3">
      <c r="A13" s="112"/>
      <c r="C13" s="225"/>
    </row>
    <row r="14" spans="1:10" x14ac:dyDescent="0.3">
      <c r="A14" s="112"/>
      <c r="C14" s="225"/>
    </row>
    <row r="15" spans="1:10" x14ac:dyDescent="0.3">
      <c r="A15" s="112"/>
      <c r="C15" s="225"/>
    </row>
    <row r="16" spans="1:10" ht="16.5" thickBot="1" x14ac:dyDescent="0.35">
      <c r="A16" s="113"/>
      <c r="B16" s="114"/>
      <c r="C16" s="226"/>
    </row>
    <row r="18" spans="1:3" x14ac:dyDescent="0.3">
      <c r="A18">
        <v>0</v>
      </c>
      <c r="B18" t="s">
        <v>90</v>
      </c>
      <c r="C18" s="222">
        <v>1050</v>
      </c>
    </row>
    <row r="19" spans="1:3" x14ac:dyDescent="0.3">
      <c r="A19">
        <v>1</v>
      </c>
      <c r="B19" t="s">
        <v>90</v>
      </c>
      <c r="C19" s="222">
        <v>1050</v>
      </c>
    </row>
    <row r="20" spans="1:3" x14ac:dyDescent="0.3">
      <c r="A20">
        <v>2</v>
      </c>
      <c r="B20" t="s">
        <v>90</v>
      </c>
      <c r="C20" s="222">
        <v>1050</v>
      </c>
    </row>
    <row r="21" spans="1:3" x14ac:dyDescent="0.3">
      <c r="A21">
        <v>3</v>
      </c>
      <c r="B21" t="s">
        <v>90</v>
      </c>
      <c r="C21" s="222">
        <v>1050</v>
      </c>
    </row>
    <row r="22" spans="1:3" x14ac:dyDescent="0.3">
      <c r="A22">
        <v>4</v>
      </c>
      <c r="B22" t="s">
        <v>90</v>
      </c>
      <c r="C22" s="222">
        <v>1050</v>
      </c>
    </row>
    <row r="23" spans="1:3" x14ac:dyDescent="0.3">
      <c r="A23">
        <v>5</v>
      </c>
      <c r="B23" t="s">
        <v>90</v>
      </c>
      <c r="C23" s="222">
        <v>1050</v>
      </c>
    </row>
    <row r="24" spans="1:3" x14ac:dyDescent="0.3">
      <c r="A24">
        <v>6</v>
      </c>
      <c r="B24" t="s">
        <v>90</v>
      </c>
      <c r="C24" s="222">
        <v>1050</v>
      </c>
    </row>
    <row r="25" spans="1:3" x14ac:dyDescent="0.3">
      <c r="A25">
        <v>7</v>
      </c>
      <c r="B25" t="s">
        <v>91</v>
      </c>
      <c r="C25" s="222">
        <v>1073.33</v>
      </c>
    </row>
    <row r="26" spans="1:3" x14ac:dyDescent="0.3">
      <c r="A26">
        <v>8</v>
      </c>
      <c r="B26" t="s">
        <v>92</v>
      </c>
      <c r="C26" s="222">
        <v>1096.67</v>
      </c>
    </row>
    <row r="27" spans="1:3" x14ac:dyDescent="0.3">
      <c r="A27">
        <v>9</v>
      </c>
      <c r="B27" t="s">
        <v>93</v>
      </c>
      <c r="C27" s="222">
        <v>1145.67</v>
      </c>
    </row>
    <row r="28" spans="1:3" x14ac:dyDescent="0.3">
      <c r="A28">
        <v>10</v>
      </c>
      <c r="B28" t="s">
        <v>94</v>
      </c>
      <c r="C28" s="222">
        <v>1195.83</v>
      </c>
    </row>
    <row r="29" spans="1:3" x14ac:dyDescent="0.3">
      <c r="A29">
        <v>11</v>
      </c>
      <c r="B29" t="s">
        <v>95</v>
      </c>
      <c r="C29" s="222">
        <v>1244.83</v>
      </c>
    </row>
    <row r="30" spans="1:3" x14ac:dyDescent="0.3">
      <c r="A30">
        <v>12</v>
      </c>
      <c r="B30" t="s">
        <v>96</v>
      </c>
      <c r="C30" s="222">
        <v>1295</v>
      </c>
    </row>
    <row r="31" spans="1:3" x14ac:dyDescent="0.3">
      <c r="A31">
        <v>13</v>
      </c>
      <c r="B31" t="s">
        <v>97</v>
      </c>
      <c r="C31" s="222">
        <v>1344</v>
      </c>
    </row>
    <row r="32" spans="1:3" x14ac:dyDescent="0.3">
      <c r="A32">
        <v>14</v>
      </c>
      <c r="B32" t="s">
        <v>98</v>
      </c>
      <c r="C32" s="222">
        <v>1363.83</v>
      </c>
    </row>
    <row r="33" spans="1:3" x14ac:dyDescent="0.3">
      <c r="A33">
        <v>15</v>
      </c>
      <c r="B33" t="s">
        <v>99</v>
      </c>
      <c r="C33" s="222">
        <v>1472.33</v>
      </c>
    </row>
    <row r="34" spans="1:3" x14ac:dyDescent="0.3">
      <c r="A34">
        <v>16</v>
      </c>
      <c r="B34" t="s">
        <v>100</v>
      </c>
      <c r="C34" s="222">
        <v>1528.33</v>
      </c>
    </row>
    <row r="35" spans="1:3" x14ac:dyDescent="0.3">
      <c r="A35">
        <v>17</v>
      </c>
      <c r="B35" t="s">
        <v>101</v>
      </c>
      <c r="C35" s="222">
        <v>1597.17</v>
      </c>
    </row>
    <row r="36" spans="1:3" x14ac:dyDescent="0.3">
      <c r="A36">
        <v>18</v>
      </c>
      <c r="B36" t="s">
        <v>102</v>
      </c>
      <c r="C36" s="222">
        <v>1664.83</v>
      </c>
    </row>
    <row r="37" spans="1:3" x14ac:dyDescent="0.3">
      <c r="A37">
        <v>19</v>
      </c>
      <c r="B37" t="s">
        <v>103</v>
      </c>
      <c r="C37" s="222">
        <v>1702.17</v>
      </c>
    </row>
    <row r="38" spans="1:3" x14ac:dyDescent="0.3">
      <c r="A38">
        <v>20</v>
      </c>
      <c r="B38" t="s">
        <v>104</v>
      </c>
      <c r="C38" s="222">
        <v>1720.83</v>
      </c>
    </row>
    <row r="39" spans="1:3" x14ac:dyDescent="0.3">
      <c r="A39">
        <v>21</v>
      </c>
      <c r="B39" t="s">
        <v>105</v>
      </c>
      <c r="C39" s="222">
        <v>1769.83</v>
      </c>
    </row>
    <row r="40" spans="1:3" x14ac:dyDescent="0.3">
      <c r="A40">
        <v>22</v>
      </c>
      <c r="B40" t="s">
        <v>106</v>
      </c>
      <c r="C40" s="222">
        <v>1820</v>
      </c>
    </row>
    <row r="41" spans="1:3" x14ac:dyDescent="0.3">
      <c r="A41">
        <v>23</v>
      </c>
      <c r="B41" t="s">
        <v>107</v>
      </c>
      <c r="C41" s="222">
        <v>1869</v>
      </c>
    </row>
    <row r="42" spans="1:3" x14ac:dyDescent="0.3">
      <c r="A42">
        <v>24</v>
      </c>
      <c r="B42" t="s">
        <v>108</v>
      </c>
      <c r="C42" s="222">
        <v>1919.17</v>
      </c>
    </row>
    <row r="43" spans="1:3" x14ac:dyDescent="0.3">
      <c r="A43">
        <v>25</v>
      </c>
      <c r="B43" t="s">
        <v>109</v>
      </c>
      <c r="C43" s="222">
        <v>1968.17</v>
      </c>
    </row>
    <row r="44" spans="1:3" x14ac:dyDescent="0.3">
      <c r="A44">
        <v>26</v>
      </c>
      <c r="B44" t="s">
        <v>110</v>
      </c>
      <c r="C44" s="222">
        <v>2018.33</v>
      </c>
    </row>
    <row r="45" spans="1:3" x14ac:dyDescent="0.3">
      <c r="A45">
        <v>27</v>
      </c>
      <c r="B45" t="s">
        <v>111</v>
      </c>
      <c r="C45" s="222">
        <v>2067.33</v>
      </c>
    </row>
    <row r="46" spans="1:3" x14ac:dyDescent="0.3">
      <c r="A46">
        <v>28</v>
      </c>
      <c r="B46" t="s">
        <v>112</v>
      </c>
      <c r="C46" s="222">
        <v>2117.5</v>
      </c>
    </row>
    <row r="47" spans="1:3" x14ac:dyDescent="0.3">
      <c r="A47">
        <v>29</v>
      </c>
      <c r="B47" t="s">
        <v>113</v>
      </c>
      <c r="C47" s="222">
        <v>2166.5</v>
      </c>
    </row>
    <row r="48" spans="1:3" x14ac:dyDescent="0.3">
      <c r="A48">
        <v>30</v>
      </c>
      <c r="B48" t="s">
        <v>114</v>
      </c>
      <c r="C48" s="222">
        <v>2192.31</v>
      </c>
    </row>
    <row r="49" spans="1:3" x14ac:dyDescent="0.3">
      <c r="A49">
        <v>31</v>
      </c>
      <c r="B49" t="s">
        <v>115</v>
      </c>
      <c r="C49" s="222">
        <v>2216.41</v>
      </c>
    </row>
    <row r="50" spans="1:3" x14ac:dyDescent="0.3">
      <c r="A50">
        <v>32</v>
      </c>
      <c r="B50" t="s">
        <v>116</v>
      </c>
      <c r="C50" s="222">
        <v>2241.13</v>
      </c>
    </row>
    <row r="51" spans="1:3" x14ac:dyDescent="0.3">
      <c r="A51">
        <v>33</v>
      </c>
      <c r="B51" t="s">
        <v>117</v>
      </c>
      <c r="C51" s="222">
        <v>2264.1999999999998</v>
      </c>
    </row>
    <row r="52" spans="1:3" x14ac:dyDescent="0.3">
      <c r="A52">
        <v>34</v>
      </c>
      <c r="B52" t="s">
        <v>118</v>
      </c>
      <c r="C52" s="222">
        <v>2287.89</v>
      </c>
    </row>
    <row r="53" spans="1:3" x14ac:dyDescent="0.3">
      <c r="A53">
        <v>35</v>
      </c>
      <c r="B53" t="s">
        <v>119</v>
      </c>
      <c r="C53" s="222">
        <v>2334.3200000000002</v>
      </c>
    </row>
    <row r="54" spans="1:3" x14ac:dyDescent="0.3">
      <c r="A54">
        <v>36</v>
      </c>
      <c r="B54" t="s">
        <v>120</v>
      </c>
      <c r="C54" s="222">
        <v>2381.84</v>
      </c>
    </row>
    <row r="55" spans="1:3" x14ac:dyDescent="0.3">
      <c r="A55">
        <v>37</v>
      </c>
      <c r="B55" t="s">
        <v>121</v>
      </c>
      <c r="C55" s="222">
        <v>2428.2600000000002</v>
      </c>
    </row>
    <row r="56" spans="1:3" x14ac:dyDescent="0.3">
      <c r="A56">
        <v>38</v>
      </c>
      <c r="B56" t="s">
        <v>122</v>
      </c>
      <c r="C56" s="222">
        <v>2475.79</v>
      </c>
    </row>
    <row r="57" spans="1:3" x14ac:dyDescent="0.3">
      <c r="A57">
        <v>39</v>
      </c>
      <c r="B57" t="s">
        <v>123</v>
      </c>
      <c r="C57" s="222">
        <v>2522.21</v>
      </c>
    </row>
    <row r="58" spans="1:3" x14ac:dyDescent="0.3">
      <c r="A58">
        <v>40</v>
      </c>
      <c r="B58" t="s">
        <v>124</v>
      </c>
      <c r="C58" s="222">
        <v>2569.7399999999998</v>
      </c>
    </row>
    <row r="61" spans="1:3" ht="16.5" thickBot="1" x14ac:dyDescent="0.35"/>
    <row r="62" spans="1:3" ht="79.5" thickBot="1" x14ac:dyDescent="0.35">
      <c r="A62" s="40" t="s">
        <v>42</v>
      </c>
      <c r="B62" t="s">
        <v>125</v>
      </c>
      <c r="C62" s="222">
        <v>60</v>
      </c>
    </row>
    <row r="65" spans="1:5" x14ac:dyDescent="0.3">
      <c r="A65" t="s">
        <v>48</v>
      </c>
      <c r="B65" t="s">
        <v>126</v>
      </c>
      <c r="C65" s="222">
        <v>0</v>
      </c>
      <c r="D65">
        <v>0</v>
      </c>
      <c r="E65">
        <v>0</v>
      </c>
    </row>
    <row r="66" spans="1:5" x14ac:dyDescent="0.3">
      <c r="A66" t="s">
        <v>127</v>
      </c>
      <c r="B66" t="s">
        <v>128</v>
      </c>
      <c r="C66" s="222">
        <v>345</v>
      </c>
      <c r="D66">
        <v>700</v>
      </c>
      <c r="E66">
        <v>0</v>
      </c>
    </row>
    <row r="67" spans="1:5" x14ac:dyDescent="0.3">
      <c r="A67" t="s">
        <v>129</v>
      </c>
      <c r="B67" t="s">
        <v>128</v>
      </c>
      <c r="C67" s="222">
        <v>375</v>
      </c>
      <c r="D67">
        <v>1000</v>
      </c>
      <c r="E67">
        <v>0</v>
      </c>
    </row>
    <row r="68" spans="1:5" x14ac:dyDescent="0.3">
      <c r="A68" t="s">
        <v>130</v>
      </c>
      <c r="B68" t="s">
        <v>128</v>
      </c>
      <c r="C68" s="222">
        <v>385</v>
      </c>
      <c r="D68">
        <v>1500</v>
      </c>
      <c r="E68">
        <v>0</v>
      </c>
    </row>
    <row r="69" spans="1:5" x14ac:dyDescent="0.3">
      <c r="A69" t="s">
        <v>131</v>
      </c>
      <c r="B69" t="s">
        <v>128</v>
      </c>
      <c r="C69" s="222">
        <v>425</v>
      </c>
      <c r="D69">
        <v>2000</v>
      </c>
      <c r="E69">
        <v>0</v>
      </c>
    </row>
    <row r="70" spans="1:5" x14ac:dyDescent="0.3">
      <c r="A70" t="s">
        <v>132</v>
      </c>
      <c r="B70" t="s">
        <v>128</v>
      </c>
      <c r="C70" s="222">
        <v>485</v>
      </c>
      <c r="D70">
        <v>2500</v>
      </c>
      <c r="E70">
        <v>0</v>
      </c>
    </row>
    <row r="71" spans="1:5" x14ac:dyDescent="0.3">
      <c r="A71" t="s">
        <v>133</v>
      </c>
      <c r="B71" t="s">
        <v>128</v>
      </c>
      <c r="C71" s="222">
        <v>555</v>
      </c>
      <c r="D71">
        <v>3000</v>
      </c>
      <c r="E71">
        <v>0</v>
      </c>
    </row>
    <row r="72" spans="1:5" x14ac:dyDescent="0.3">
      <c r="A72" t="s">
        <v>134</v>
      </c>
      <c r="B72" t="s">
        <v>135</v>
      </c>
      <c r="C72" s="222">
        <v>645</v>
      </c>
      <c r="D72">
        <v>3000</v>
      </c>
      <c r="E72">
        <v>0</v>
      </c>
    </row>
    <row r="73" spans="1:5" x14ac:dyDescent="0.3">
      <c r="A73" t="s">
        <v>47</v>
      </c>
      <c r="B73" t="s">
        <v>135</v>
      </c>
      <c r="C73" s="222">
        <v>785</v>
      </c>
      <c r="D73">
        <v>3600</v>
      </c>
      <c r="E73">
        <v>0</v>
      </c>
    </row>
    <row r="74" spans="1:5" x14ac:dyDescent="0.3">
      <c r="A74" t="s">
        <v>136</v>
      </c>
      <c r="B74" t="s">
        <v>135</v>
      </c>
      <c r="C74" s="222">
        <v>800</v>
      </c>
      <c r="D74">
        <v>4200</v>
      </c>
      <c r="E74">
        <v>0</v>
      </c>
    </row>
    <row r="75" spans="1:5" x14ac:dyDescent="0.3">
      <c r="A75" t="s">
        <v>137</v>
      </c>
      <c r="B75" t="s">
        <v>135</v>
      </c>
      <c r="C75" s="222">
        <v>845</v>
      </c>
      <c r="D75">
        <v>5000</v>
      </c>
      <c r="E75">
        <v>0</v>
      </c>
    </row>
    <row r="76" spans="1:5" x14ac:dyDescent="0.3">
      <c r="A76" t="s">
        <v>138</v>
      </c>
      <c r="B76" t="s">
        <v>139</v>
      </c>
      <c r="C76" s="222">
        <v>995</v>
      </c>
      <c r="D76">
        <v>0</v>
      </c>
      <c r="E76">
        <v>4000</v>
      </c>
    </row>
    <row r="77" spans="1:5" x14ac:dyDescent="0.3">
      <c r="A77" t="s">
        <v>140</v>
      </c>
      <c r="B77" t="s">
        <v>139</v>
      </c>
      <c r="C77" s="222">
        <v>1065</v>
      </c>
      <c r="D77">
        <v>0</v>
      </c>
      <c r="E77">
        <v>5000</v>
      </c>
    </row>
    <row r="78" spans="1:5" x14ac:dyDescent="0.3">
      <c r="A78" t="s">
        <v>141</v>
      </c>
      <c r="B78" t="s">
        <v>139</v>
      </c>
      <c r="C78" s="222">
        <v>1175</v>
      </c>
      <c r="D78">
        <v>0</v>
      </c>
      <c r="E78">
        <v>6000</v>
      </c>
    </row>
    <row r="79" spans="1:5" x14ac:dyDescent="0.3">
      <c r="A79" t="s">
        <v>142</v>
      </c>
      <c r="B79" t="s">
        <v>139</v>
      </c>
      <c r="C79" s="222">
        <v>1275</v>
      </c>
      <c r="D79">
        <v>0</v>
      </c>
      <c r="E79">
        <v>8000</v>
      </c>
    </row>
    <row r="80" spans="1:5" x14ac:dyDescent="0.3">
      <c r="A80" t="s">
        <v>143</v>
      </c>
      <c r="B80" t="s">
        <v>139</v>
      </c>
      <c r="C80" s="222">
        <v>1445</v>
      </c>
      <c r="D80">
        <v>0</v>
      </c>
      <c r="E80">
        <v>10000</v>
      </c>
    </row>
    <row r="81" spans="1:8" x14ac:dyDescent="0.3">
      <c r="A81" t="s">
        <v>144</v>
      </c>
      <c r="B81" t="s">
        <v>139</v>
      </c>
      <c r="C81" s="222">
        <v>1495</v>
      </c>
      <c r="D81">
        <v>0</v>
      </c>
      <c r="E81">
        <v>12000</v>
      </c>
    </row>
    <row r="84" spans="1:8" ht="16.5" thickBot="1" x14ac:dyDescent="0.35"/>
    <row r="85" spans="1:8" ht="16.5" thickBot="1" x14ac:dyDescent="0.35">
      <c r="A85" t="s">
        <v>35</v>
      </c>
      <c r="B85" s="115" t="s">
        <v>38</v>
      </c>
      <c r="D85">
        <v>1.2</v>
      </c>
      <c r="E85">
        <v>0.92</v>
      </c>
    </row>
    <row r="86" spans="1:8" ht="16.5" thickBot="1" x14ac:dyDescent="0.35">
      <c r="A86" t="s">
        <v>145</v>
      </c>
      <c r="B86" s="115" t="s">
        <v>146</v>
      </c>
      <c r="D86">
        <v>1.3</v>
      </c>
      <c r="E86">
        <v>0.82</v>
      </c>
    </row>
    <row r="88" spans="1:8" ht="16.5" thickBot="1" x14ac:dyDescent="0.35"/>
    <row r="89" spans="1:8" ht="32.25" thickBot="1" x14ac:dyDescent="0.35">
      <c r="A89" s="231" t="s">
        <v>201</v>
      </c>
      <c r="B89" s="197" t="s">
        <v>196</v>
      </c>
      <c r="C89" s="218">
        <v>265</v>
      </c>
      <c r="D89" s="197"/>
      <c r="E89" s="197"/>
      <c r="F89" s="197"/>
      <c r="G89" s="219">
        <f>'Optie Offerte Micro icm Enphas'!B5</f>
        <v>10</v>
      </c>
      <c r="H89" s="197">
        <v>0</v>
      </c>
    </row>
    <row r="90" spans="1:8" ht="31.5" x14ac:dyDescent="0.3">
      <c r="A90" s="231" t="s">
        <v>202</v>
      </c>
      <c r="B90" s="197" t="s">
        <v>196</v>
      </c>
      <c r="C90" s="218">
        <v>400</v>
      </c>
      <c r="D90" s="197"/>
      <c r="E90" s="197"/>
      <c r="F90" s="197"/>
      <c r="G90" s="197">
        <v>0</v>
      </c>
      <c r="H90" s="197">
        <f>'Optie Offerte Micro icm Enphas'!B5</f>
        <v>10</v>
      </c>
    </row>
    <row r="91" spans="1:8" x14ac:dyDescent="0.3">
      <c r="A91" s="197"/>
      <c r="B91" s="197"/>
      <c r="C91" s="218"/>
      <c r="D91" s="197"/>
      <c r="E91" s="197"/>
      <c r="F91" s="197"/>
      <c r="G91" s="197"/>
      <c r="H91" s="197"/>
    </row>
    <row r="92" spans="1:8" x14ac:dyDescent="0.3">
      <c r="A92" s="197" t="s">
        <v>194</v>
      </c>
      <c r="B92" s="197" t="s">
        <v>195</v>
      </c>
      <c r="C92" s="218">
        <v>175</v>
      </c>
      <c r="D92" s="197"/>
      <c r="E92" s="197"/>
      <c r="F92" s="197"/>
      <c r="G92" s="197"/>
      <c r="H92" s="197"/>
    </row>
    <row r="93" spans="1:8" x14ac:dyDescent="0.3">
      <c r="A93" s="197"/>
      <c r="B93" s="197"/>
      <c r="C93" s="218"/>
      <c r="D93" s="197"/>
      <c r="E93" s="197"/>
      <c r="F93" s="197"/>
      <c r="G93" s="197"/>
      <c r="H93" s="197"/>
    </row>
  </sheetData>
  <sheetProtection algorithmName="SHA-512" hashValue="XSHnI1HroglROZfk/IQ8he9Q2p/bOwCtCCSwg/NxgNuoJmTp7MMeMVRAwRE6y5l+MHfmf/LanHJ9nmOrC7wTDA==" saltValue="5cvpvUeyz+WZ+EFXi9iK2w==" spinCount="100000" sheet="1" objects="1" scenarios="1"/>
  <phoneticPr fontId="3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E47F29-6257-43AB-9714-FADAFAD626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TM22580525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2</vt:i4>
      </vt:variant>
    </vt:vector>
  </HeadingPairs>
  <TitlesOfParts>
    <vt:vector size="9" baseType="lpstr">
      <vt:lpstr>Stap 1 Basis soorten opstelling</vt:lpstr>
      <vt:lpstr>Stap 2 Punten ter voorbereiding</vt:lpstr>
      <vt:lpstr>Stap 3 Offerte Serie icm GoodWe</vt:lpstr>
      <vt:lpstr>Optie Offerte Micro icm Enphas</vt:lpstr>
      <vt:lpstr>Potentiele winst icm serie</vt:lpstr>
      <vt:lpstr>Potentiele winst icm micro</vt:lpstr>
      <vt:lpstr>Prijsbronlijst</vt:lpstr>
      <vt:lpstr>'Optie Offerte Micro icm Enphas'!Afdruktitels</vt:lpstr>
      <vt:lpstr>'Stap 3 Offerte Serie icm GoodWe'!Afdruktitels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2022-01-03T23:22:28Z</dcterms:created>
  <dcterms:modified xsi:type="dcterms:W3CDTF">2023-12-02T14:40:24Z</dcterms:modified>
  <cp:category/>
  <cp:contentStatus/>
</cp:coreProperties>
</file>